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80" windowWidth="15480" windowHeight="11640" tabRatio="598" activeTab="2"/>
  </bookViews>
  <sheets>
    <sheet name="UNICE" sheetId="1" r:id="rId1"/>
    <sheet name="PENS" sheetId="2" r:id="rId2"/>
    <sheet name="DIABET" sheetId="3" r:id="rId3"/>
    <sheet name="INS" sheetId="4" r:id="rId4"/>
    <sheet name="MIXT" sheetId="5" r:id="rId5"/>
    <sheet name="TESTE" sheetId="6" r:id="rId6"/>
    <sheet name="COST VOLUM ONCO" sheetId="7" r:id="rId7"/>
    <sheet name="ONCO" sheetId="8" r:id="rId8"/>
    <sheet name="POSTT" sheetId="9" r:id="rId9"/>
    <sheet name="SCLEROZ" sheetId="10" r:id="rId10"/>
    <sheet name="CV UNICE" sheetId="11" r:id="rId11"/>
    <sheet name="MUCOV" sheetId="12" r:id="rId12"/>
  </sheets>
  <definedNames>
    <definedName name="_xlnm.Print_Area" localSheetId="6">'COST VOLUM ONCO'!$A$1:$J$44</definedName>
    <definedName name="_xlnm.Print_Area" localSheetId="10">'CV UNICE'!$A$1:$J$44</definedName>
  </definedNames>
  <calcPr fullCalcOnLoad="1"/>
</workbook>
</file>

<file path=xl/sharedStrings.xml><?xml version="1.0" encoding="utf-8"?>
<sst xmlns="http://schemas.openxmlformats.org/spreadsheetml/2006/main" count="911" uniqueCount="125">
  <si>
    <t>Nr.crt.</t>
  </si>
  <si>
    <t>Denumirea unitatii</t>
  </si>
  <si>
    <t>Lista A</t>
  </si>
  <si>
    <t>Lista B</t>
  </si>
  <si>
    <t>Lista C1</t>
  </si>
  <si>
    <t>Lista C3</t>
  </si>
  <si>
    <t>ADONIS</t>
  </si>
  <si>
    <t xml:space="preserve">RICHTER GEDEON </t>
  </si>
  <si>
    <t>FARMA-LINE</t>
  </si>
  <si>
    <t>HYGEA</t>
  </si>
  <si>
    <t>KOL-KING</t>
  </si>
  <si>
    <t>MEDICOM</t>
  </si>
  <si>
    <t>PRO-SANA</t>
  </si>
  <si>
    <t>SALVIA</t>
  </si>
  <si>
    <t>TRANSFARM</t>
  </si>
  <si>
    <t>AMBROSIA</t>
  </si>
  <si>
    <t>SIEPCOFAR-DONA</t>
  </si>
  <si>
    <t>SALVATOR</t>
  </si>
  <si>
    <t>MARIA</t>
  </si>
  <si>
    <t>HERMANN</t>
  </si>
  <si>
    <t>FARMIRA</t>
  </si>
  <si>
    <t>VENENA</t>
  </si>
  <si>
    <t>APOLLON</t>
  </si>
  <si>
    <t>AESKULAP</t>
  </si>
  <si>
    <t>VIPERA</t>
  </si>
  <si>
    <t xml:space="preserve">FARMACOM </t>
  </si>
  <si>
    <t>PAULA</t>
  </si>
  <si>
    <t>HYPERNOVA DALIA</t>
  </si>
  <si>
    <t>SENSI BLUE</t>
  </si>
  <si>
    <t>HELP NET</t>
  </si>
  <si>
    <t>SZENT ANNA</t>
  </si>
  <si>
    <t>MOHOS</t>
  </si>
  <si>
    <t>CATENA</t>
  </si>
  <si>
    <t>SQUARE</t>
  </si>
  <si>
    <t>UNICORNIS</t>
  </si>
  <si>
    <t>TOTAL GENERAL</t>
  </si>
  <si>
    <t>Consum MED.50%CNAS</t>
  </si>
  <si>
    <t>Consum MED.40%M.S.</t>
  </si>
  <si>
    <t xml:space="preserve">Consum PENSIONARI  </t>
  </si>
  <si>
    <t>RICHTER GEDEON</t>
  </si>
  <si>
    <t>SIEPCOFAR</t>
  </si>
  <si>
    <t>Consum DIABET</t>
  </si>
  <si>
    <t xml:space="preserve">Consum INSULINE  </t>
  </si>
  <si>
    <t>MIXT</t>
  </si>
  <si>
    <t>Diabet</t>
  </si>
  <si>
    <t xml:space="preserve">Insuline </t>
  </si>
  <si>
    <t xml:space="preserve">Teste adulti </t>
  </si>
  <si>
    <t>Teste copii</t>
  </si>
  <si>
    <t>Consum mixt</t>
  </si>
  <si>
    <t xml:space="preserve">Consum ONCOLOGICE  </t>
  </si>
  <si>
    <t xml:space="preserve">Consum posttransplant </t>
  </si>
  <si>
    <t>Consum scleroza laterala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</si>
  <si>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</si>
  <si>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</si>
  <si>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</si>
  <si>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</si>
  <si>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</si>
  <si>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</si>
  <si>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</si>
  <si>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</si>
  <si>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</si>
  <si>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</si>
  <si>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</si>
  <si>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</si>
  <si>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</si>
  <si>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</si>
  <si>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</si>
  <si>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</si>
  <si>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</si>
  <si>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</si>
  <si>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</si>
  <si>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</si>
  <si>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</si>
  <si>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</si>
  <si>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</si>
  <si>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</si>
  <si>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</si>
  <si>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</si>
  <si>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</si>
  <si>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1</t>
  </si>
  <si>
    <t>29</t>
  </si>
  <si>
    <t>30</t>
  </si>
  <si>
    <t>31</t>
  </si>
  <si>
    <t>32</t>
  </si>
  <si>
    <t>33</t>
  </si>
  <si>
    <t>34</t>
  </si>
  <si>
    <t>35</t>
  </si>
  <si>
    <t>MISS B.PHARMA</t>
  </si>
  <si>
    <t>MISS B PHARMA</t>
  </si>
  <si>
    <t>LOTUS PHARMA</t>
  </si>
  <si>
    <t>ECOFARMACIA NETWORK</t>
  </si>
  <si>
    <t>36</t>
  </si>
  <si>
    <t>Total consum unice</t>
  </si>
  <si>
    <t>KINCSOPHARM</t>
  </si>
  <si>
    <t>KAMILLA PLUS</t>
  </si>
  <si>
    <t>Lista D</t>
  </si>
  <si>
    <t>Consum MUCOVISCIDOZA ADULTI</t>
  </si>
  <si>
    <t>Consum MUCOVISCIDOZA COPII</t>
  </si>
  <si>
    <t>ARNIKAPOTHEQ</t>
  </si>
  <si>
    <t>G 4 MSS</t>
  </si>
  <si>
    <t>G7 MSS</t>
  </si>
  <si>
    <t>G 31A MSS</t>
  </si>
  <si>
    <t>G 31B MSS</t>
  </si>
  <si>
    <t>G31EMSS</t>
  </si>
  <si>
    <t>G22MSS</t>
  </si>
  <si>
    <t>G31D MSS</t>
  </si>
  <si>
    <t>G31FMSS</t>
  </si>
  <si>
    <t>G31CMSS</t>
  </si>
  <si>
    <t xml:space="preserve">Total consum unice fara MSS </t>
  </si>
  <si>
    <t>TOTAL  MSS</t>
  </si>
  <si>
    <t xml:space="preserve">Consum COST VOLUM PNS  </t>
  </si>
  <si>
    <t xml:space="preserve">Consum COST VOLUM UNICE </t>
  </si>
  <si>
    <t>KOVAPROD</t>
  </si>
  <si>
    <t>SITUATIA CONSUMULUI DE MEDICAMENTE IN LUNA  IUNIE 2019</t>
  </si>
  <si>
    <t>SITUATIA CONSUMULUI DE MEDICAMENTE PENTRU PENSIONARI PANA LA 900 LEI IUNIE 2019</t>
  </si>
  <si>
    <t>SITUATIA CONSUMULUI DE MEDICAMENTE PENTRU DIABET   LUNA IUNIE 2019</t>
  </si>
  <si>
    <t>SITUATIA CONSUMULUI DE MEDICAMENTE PENTRU INSULINE LUNA IUNIE 2019</t>
  </si>
  <si>
    <t>SITUATIA CONSUMULUI DE MEDICAMENTE LA  DIABET SI INSULINE IUNIE 2019</t>
  </si>
  <si>
    <t>SITUATIA CONSUMULUI LA TESTE PENTRU LUNA IUNIE 2019</t>
  </si>
  <si>
    <t>SITUATIA CONSUMULUI DE MEDICAMENTE PENTRU PNS COST VOLUM   LUNA IUNIE 2019</t>
  </si>
  <si>
    <t>SITUATIA CONSUMULUI DE MEDICAMENTE PENTRU ONCOLOGIE  LUNA IUNIE 2019</t>
  </si>
  <si>
    <t>SITUATIA CONSUMULUI DE MEDICAMENTE LA STARI POSTTRANSPLANT IUNIE 2019</t>
  </si>
  <si>
    <t>SITUATIA CONSUMULUI DE MEDICAMENTE PENTRU SCLEROZA   LUNA IUNIE 2019</t>
  </si>
  <si>
    <t>SITUATIA CONSUMULUI DE MEDIC. PENTRU UNICE COST VOLUM   LUNA IUNIE 2019</t>
  </si>
  <si>
    <t>SITUATIA CONSUMULUI DE MEDICAMENTE LA STARI MUCOVISCIDOZA IUNIE 2019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</si>
</sst>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19">
    <font>
      <sz val="10"/>
      <name val="Arial"/>
      <family val="0"/>
    </font>
    <font>
      <b/>
      <sz val="11"/>
      <name val="Times New Roman CE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4" fillId="0" borderId="0" xfId="0" applyNumberFormat="1" applyFont="1" applyAlignment="1">
      <alignment/>
    </xf>
    <xf numFmtId="4" fontId="3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" fontId="3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0" fillId="0" borderId="0" xfId="0" applyNumberFormat="1" applyAlignment="1">
      <alignment horizontal="left"/>
    </xf>
    <xf numFmtId="4" fontId="7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8" fillId="2" borderId="0" xfId="0" applyFont="1" applyFill="1" applyAlignment="1">
      <alignment/>
    </xf>
    <xf numFmtId="4" fontId="9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10" fillId="0" borderId="0" xfId="0" applyNumberFormat="1" applyFont="1" applyAlignment="1">
      <alignment/>
    </xf>
    <xf numFmtId="4" fontId="9" fillId="2" borderId="0" xfId="0" applyNumberFormat="1" applyFont="1" applyFill="1" applyAlignment="1">
      <alignment/>
    </xf>
    <xf numFmtId="0" fontId="11" fillId="0" borderId="0" xfId="0" applyFont="1" applyAlignment="1">
      <alignment/>
    </xf>
    <xf numFmtId="4" fontId="12" fillId="0" borderId="1" xfId="0" applyNumberFormat="1" applyFont="1" applyBorder="1" applyAlignment="1">
      <alignment/>
    </xf>
    <xf numFmtId="4" fontId="11" fillId="0" borderId="1" xfId="0" applyNumberFormat="1" applyFont="1" applyBorder="1" applyAlignment="1">
      <alignment/>
    </xf>
    <xf numFmtId="4" fontId="12" fillId="0" borderId="1" xfId="0" applyNumberFormat="1" applyFont="1" applyBorder="1" applyAlignment="1">
      <alignment shrinkToFit="1"/>
    </xf>
    <xf numFmtId="4" fontId="11" fillId="0" borderId="1" xfId="0" applyNumberFormat="1" applyFont="1" applyBorder="1" applyAlignment="1">
      <alignment horizontal="right"/>
    </xf>
    <xf numFmtId="0" fontId="12" fillId="0" borderId="0" xfId="0" applyFont="1" applyFill="1" applyBorder="1" applyAlignment="1">
      <alignment horizontal="left"/>
    </xf>
    <xf numFmtId="4" fontId="12" fillId="0" borderId="0" xfId="0" applyNumberFormat="1" applyFont="1" applyAlignment="1">
      <alignment/>
    </xf>
    <xf numFmtId="4" fontId="13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12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17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7" fontId="3" fillId="0" borderId="0" xfId="0" applyNumberFormat="1" applyFont="1" applyAlignment="1">
      <alignment/>
    </xf>
    <xf numFmtId="0" fontId="3" fillId="2" borderId="0" xfId="0" applyFont="1" applyFill="1" applyAlignment="1">
      <alignment/>
    </xf>
    <xf numFmtId="49" fontId="3" fillId="0" borderId="1" xfId="0" applyNumberFormat="1" applyFont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4" fontId="3" fillId="2" borderId="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49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4" fontId="2" fillId="0" borderId="5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49" fontId="3" fillId="0" borderId="6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/>
    </xf>
    <xf numFmtId="4" fontId="2" fillId="0" borderId="6" xfId="0" applyNumberFormat="1" applyFont="1" applyBorder="1" applyAlignment="1">
      <alignment/>
    </xf>
    <xf numFmtId="49" fontId="3" fillId="0" borderId="8" xfId="0" applyNumberFormat="1" applyFont="1" applyBorder="1" applyAlignment="1">
      <alignment horizontal="right"/>
    </xf>
    <xf numFmtId="4" fontId="2" fillId="0" borderId="8" xfId="0" applyNumberFormat="1" applyFont="1" applyBorder="1" applyAlignment="1">
      <alignment/>
    </xf>
    <xf numFmtId="4" fontId="3" fillId="0" borderId="8" xfId="0" applyNumberFormat="1" applyFont="1" applyBorder="1" applyAlignment="1">
      <alignment/>
    </xf>
    <xf numFmtId="4" fontId="2" fillId="2" borderId="8" xfId="0" applyNumberFormat="1" applyFont="1" applyFill="1" applyBorder="1" applyAlignment="1">
      <alignment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right"/>
    </xf>
    <xf numFmtId="4" fontId="3" fillId="2" borderId="5" xfId="0" applyNumberFormat="1" applyFont="1" applyFill="1" applyBorder="1" applyAlignment="1">
      <alignment/>
    </xf>
    <xf numFmtId="4" fontId="2" fillId="0" borderId="2" xfId="0" applyNumberFormat="1" applyFont="1" applyBorder="1" applyAlignment="1">
      <alignment/>
    </xf>
    <xf numFmtId="4" fontId="2" fillId="2" borderId="3" xfId="0" applyNumberFormat="1" applyFont="1" applyFill="1" applyBorder="1" applyAlignment="1">
      <alignment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4" fontId="1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4" fontId="8" fillId="2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13" fillId="2" borderId="1" xfId="0" applyNumberFormat="1" applyFont="1" applyFill="1" applyBorder="1" applyAlignment="1">
      <alignment/>
    </xf>
    <xf numFmtId="4" fontId="1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15" fillId="0" borderId="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4" fontId="0" fillId="0" borderId="0" xfId="0" applyNumberFormat="1" applyBorder="1" applyAlignment="1">
      <alignment/>
    </xf>
    <xf numFmtId="4" fontId="3" fillId="2" borderId="0" xfId="0" applyNumberFormat="1" applyFont="1" applyFill="1" applyAlignment="1">
      <alignment/>
    </xf>
    <xf numFmtId="4" fontId="18" fillId="0" borderId="0" xfId="0" applyNumberFormat="1" applyFont="1" applyBorder="1" applyAlignment="1">
      <alignment/>
    </xf>
    <xf numFmtId="49" fontId="3" fillId="0" borderId="5" xfId="0" applyNumberFormat="1" applyFont="1" applyBorder="1" applyAlignment="1">
      <alignment horizontal="right"/>
    </xf>
    <xf numFmtId="4" fontId="2" fillId="2" borderId="10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G272"/>
  <sheetViews>
    <sheetView workbookViewId="0" topLeftCell="A8">
      <pane xSplit="2" topLeftCell="M1" activePane="topRight" state="frozen"/>
      <selection pane="topLeft" activeCell="A4" sqref="A4"/>
      <selection pane="topRight" activeCell="T2" sqref="T1:W16384"/>
    </sheetView>
  </sheetViews>
  <sheetFormatPr defaultColWidth="9.140625" defaultRowHeight="12.75"/>
  <cols>
    <col min="1" max="1" width="9.7109375" style="0" bestFit="1" customWidth="1"/>
    <col min="2" max="2" width="31.00390625" style="0" customWidth="1"/>
    <col min="3" max="3" width="18.00390625" style="0" bestFit="1" customWidth="1"/>
    <col min="4" max="4" width="19.00390625" style="0" customWidth="1"/>
    <col min="5" max="5" width="18.7109375" style="0" customWidth="1"/>
    <col min="6" max="6" width="17.8515625" style="0" bestFit="1" customWidth="1"/>
    <col min="7" max="7" width="16.28125" style="0" customWidth="1"/>
    <col min="8" max="8" width="15.28125" style="18" bestFit="1" customWidth="1"/>
    <col min="9" max="9" width="12.140625" style="0" customWidth="1"/>
    <col min="10" max="10" width="14.140625" style="0" bestFit="1" customWidth="1"/>
    <col min="11" max="11" width="14.28125" style="0" bestFit="1" customWidth="1"/>
    <col min="12" max="12" width="15.57421875" style="0" bestFit="1" customWidth="1"/>
    <col min="13" max="13" width="16.8515625" style="0" customWidth="1"/>
    <col min="14" max="14" width="15.57421875" style="0" customWidth="1"/>
    <col min="15" max="15" width="15.57421875" style="0" bestFit="1" customWidth="1"/>
    <col min="16" max="16" width="17.28125" style="0" bestFit="1" customWidth="1"/>
    <col min="17" max="17" width="16.00390625" style="0" bestFit="1" customWidth="1"/>
    <col min="18" max="18" width="18.421875" style="0" bestFit="1" customWidth="1"/>
    <col min="19" max="19" width="18.421875" style="13" bestFit="1" customWidth="1"/>
    <col min="20" max="20" width="11.7109375" style="19" bestFit="1" customWidth="1"/>
    <col min="21" max="22" width="11.7109375" style="4" bestFit="1" customWidth="1"/>
    <col min="23" max="59" width="9.140625" style="4" customWidth="1"/>
  </cols>
  <sheetData>
    <row r="3" spans="2:19" ht="15.75">
      <c r="B3" s="20" t="s">
        <v>113</v>
      </c>
      <c r="C3" s="21"/>
      <c r="D3" s="21"/>
      <c r="E3" s="21"/>
      <c r="F3" s="22"/>
      <c r="G3" s="22"/>
      <c r="H3" s="23"/>
      <c r="I3" s="21"/>
      <c r="J3" s="21"/>
      <c r="K3" s="21"/>
      <c r="L3" s="21"/>
      <c r="M3" s="21"/>
      <c r="N3" s="21"/>
      <c r="O3" s="21"/>
      <c r="P3" s="21"/>
      <c r="Q3" s="21"/>
      <c r="R3" s="24"/>
      <c r="S3" s="25"/>
    </row>
    <row r="4" spans="1:19" ht="31.5">
      <c r="A4" s="77" t="s">
        <v>0</v>
      </c>
      <c r="B4" s="78" t="s">
        <v>1</v>
      </c>
      <c r="C4" s="79" t="s">
        <v>2</v>
      </c>
      <c r="D4" s="79" t="s">
        <v>3</v>
      </c>
      <c r="E4" s="79" t="s">
        <v>4</v>
      </c>
      <c r="F4" s="79" t="s">
        <v>5</v>
      </c>
      <c r="G4" s="79" t="s">
        <v>95</v>
      </c>
      <c r="H4" s="80" t="s">
        <v>99</v>
      </c>
      <c r="I4" s="79" t="s">
        <v>100</v>
      </c>
      <c r="J4" s="79" t="s">
        <v>104</v>
      </c>
      <c r="K4" s="79" t="s">
        <v>101</v>
      </c>
      <c r="L4" s="79" t="s">
        <v>102</v>
      </c>
      <c r="M4" s="79" t="s">
        <v>107</v>
      </c>
      <c r="N4" s="79" t="s">
        <v>105</v>
      </c>
      <c r="O4" s="79" t="s">
        <v>103</v>
      </c>
      <c r="P4" s="79" t="s">
        <v>106</v>
      </c>
      <c r="Q4" s="79" t="s">
        <v>109</v>
      </c>
      <c r="R4" s="81" t="s">
        <v>92</v>
      </c>
      <c r="S4" s="80" t="s">
        <v>108</v>
      </c>
    </row>
    <row r="5" spans="1:22" ht="15.75">
      <c r="A5" s="82">
        <v>1</v>
      </c>
      <c r="B5" s="83" t="s">
        <v>6</v>
      </c>
      <c r="C5" s="26">
        <f>31137.44+6538.46+3942.99+678.55</f>
        <v>42297.44</v>
      </c>
      <c r="D5" s="26">
        <f>34084.1+3424.9+3245.9+363.1</f>
        <v>41118</v>
      </c>
      <c r="E5" s="26">
        <f>44756.52+3883.55+3802.43+271.11</f>
        <v>52713.61</v>
      </c>
      <c r="F5" s="26">
        <f>1464.23+276.14+248.69+7.29</f>
        <v>1996.35</v>
      </c>
      <c r="G5" s="26">
        <f>3451.3+440.6+382.61+20.89</f>
        <v>4295.400000000001</v>
      </c>
      <c r="H5" s="27">
        <v>1160.24</v>
      </c>
      <c r="I5" s="26"/>
      <c r="J5" s="26">
        <v>952.23</v>
      </c>
      <c r="K5" s="26">
        <v>2922.38</v>
      </c>
      <c r="L5" s="26">
        <v>11997.02</v>
      </c>
      <c r="M5" s="26"/>
      <c r="N5" s="26"/>
      <c r="O5" s="26"/>
      <c r="P5" s="26">
        <v>9522.12</v>
      </c>
      <c r="Q5" s="84">
        <f>H5+I5+J5+K5+L5+M5+N5+O5+P5</f>
        <v>26553.990000000005</v>
      </c>
      <c r="R5" s="85">
        <f aca="true" t="shared" si="0" ref="R5:R41">C5+D5+E5+F5+G5+H5+I5+J5+K5+L5+M5+N5+O5+P5</f>
        <v>168974.78999999998</v>
      </c>
      <c r="S5" s="86">
        <f>R5-Q5</f>
        <v>142420.8</v>
      </c>
      <c r="T5" s="93"/>
      <c r="U5" s="91"/>
      <c r="V5" s="93"/>
    </row>
    <row r="6" spans="1:22" ht="15.75">
      <c r="A6" s="82">
        <v>2</v>
      </c>
      <c r="B6" s="83" t="s">
        <v>7</v>
      </c>
      <c r="C6" s="26">
        <f>9711.05+8038.96</f>
        <v>17750.01</v>
      </c>
      <c r="D6" s="26">
        <f>13465.59+7931.79</f>
        <v>21397.38</v>
      </c>
      <c r="E6" s="26">
        <f>3787.5+6815.96</f>
        <v>10603.46</v>
      </c>
      <c r="F6" s="26">
        <f>374.86+102.13</f>
        <v>476.99</v>
      </c>
      <c r="G6" s="26">
        <f>1839.73+1212.95</f>
        <v>3052.6800000000003</v>
      </c>
      <c r="H6" s="27"/>
      <c r="I6" s="26"/>
      <c r="J6" s="26"/>
      <c r="K6" s="26">
        <v>2922.38</v>
      </c>
      <c r="L6" s="26"/>
      <c r="M6" s="26"/>
      <c r="N6" s="26"/>
      <c r="O6" s="26"/>
      <c r="P6" s="26"/>
      <c r="Q6" s="84">
        <f aca="true" t="shared" si="1" ref="Q6:Q41">H6+I6+J6+K6+L6+M6+N6+O6+P6</f>
        <v>2922.38</v>
      </c>
      <c r="R6" s="85">
        <f t="shared" si="0"/>
        <v>56202.899999999994</v>
      </c>
      <c r="S6" s="86">
        <f aca="true" t="shared" si="2" ref="S6:S41">R6-Q6</f>
        <v>53280.52</v>
      </c>
      <c r="T6" s="93"/>
      <c r="U6" s="91"/>
      <c r="V6" s="93"/>
    </row>
    <row r="7" spans="1:22" ht="15.75">
      <c r="A7" s="82">
        <v>3</v>
      </c>
      <c r="B7" s="83" t="s">
        <v>8</v>
      </c>
      <c r="C7" s="26">
        <f>7756.35+4724.62+4180.64+9833.07+2867.9</f>
        <v>29362.58</v>
      </c>
      <c r="D7" s="26">
        <f>9647.73+4647.3+5167.65+8062.57+1719.61</f>
        <v>29244.86</v>
      </c>
      <c r="E7" s="26">
        <f>4847.7+3318.71+2125.69+3366.35+244.99</f>
        <v>13903.44</v>
      </c>
      <c r="F7" s="26">
        <f>1248.2+822+409.19+2228.99+1920.39</f>
        <v>6628.7699999999995</v>
      </c>
      <c r="G7" s="26">
        <f>1278.23+400.65+682.93+1180.08+199.93</f>
        <v>3741.8199999999997</v>
      </c>
      <c r="H7" s="27"/>
      <c r="I7" s="26"/>
      <c r="J7" s="26"/>
      <c r="K7" s="26"/>
      <c r="L7" s="26"/>
      <c r="M7" s="26"/>
      <c r="N7" s="26"/>
      <c r="O7" s="26"/>
      <c r="P7" s="26"/>
      <c r="Q7" s="84">
        <f t="shared" si="1"/>
        <v>0</v>
      </c>
      <c r="R7" s="85">
        <f t="shared" si="0"/>
        <v>82881.47</v>
      </c>
      <c r="S7" s="86">
        <f t="shared" si="2"/>
        <v>82881.47</v>
      </c>
      <c r="T7" s="93"/>
      <c r="U7" s="91"/>
      <c r="V7" s="93"/>
    </row>
    <row r="8" spans="1:22" ht="15.75">
      <c r="A8" s="82">
        <v>4</v>
      </c>
      <c r="B8" s="83" t="s">
        <v>9</v>
      </c>
      <c r="C8" s="26"/>
      <c r="D8" s="26"/>
      <c r="E8" s="26"/>
      <c r="F8" s="26"/>
      <c r="G8" s="26"/>
      <c r="H8" s="27"/>
      <c r="I8" s="26"/>
      <c r="J8" s="26"/>
      <c r="K8" s="26"/>
      <c r="L8" s="26"/>
      <c r="M8" s="26"/>
      <c r="N8" s="26"/>
      <c r="O8" s="26"/>
      <c r="P8" s="26"/>
      <c r="Q8" s="84">
        <f t="shared" si="1"/>
        <v>0</v>
      </c>
      <c r="R8" s="85">
        <f t="shared" si="0"/>
        <v>0</v>
      </c>
      <c r="S8" s="86">
        <f t="shared" si="2"/>
        <v>0</v>
      </c>
      <c r="T8" s="93"/>
      <c r="U8" s="91"/>
      <c r="V8" s="91"/>
    </row>
    <row r="9" spans="1:22" ht="15.75">
      <c r="A9" s="82">
        <v>5</v>
      </c>
      <c r="B9" s="83" t="s">
        <v>10</v>
      </c>
      <c r="C9" s="26">
        <f>5577.55+6911.76+5020.79</f>
        <v>17510.100000000002</v>
      </c>
      <c r="D9" s="26">
        <f>4475.27+6090.56+4637.83</f>
        <v>15203.660000000002</v>
      </c>
      <c r="E9" s="26">
        <f>3322.68+4129.28+2255.55</f>
        <v>9707.509999999998</v>
      </c>
      <c r="F9" s="26">
        <f>673.14+325.41+202.85</f>
        <v>1201.3999999999999</v>
      </c>
      <c r="G9" s="26">
        <f>1625.23+1096.07+384.6</f>
        <v>3105.9</v>
      </c>
      <c r="H9" s="27"/>
      <c r="I9" s="26"/>
      <c r="J9" s="26"/>
      <c r="K9" s="26"/>
      <c r="L9" s="26"/>
      <c r="M9" s="26"/>
      <c r="N9" s="26"/>
      <c r="O9" s="26"/>
      <c r="P9" s="26"/>
      <c r="Q9" s="84">
        <f t="shared" si="1"/>
        <v>0</v>
      </c>
      <c r="R9" s="85">
        <f t="shared" si="0"/>
        <v>46728.57000000001</v>
      </c>
      <c r="S9" s="86">
        <f t="shared" si="2"/>
        <v>46728.57000000001</v>
      </c>
      <c r="T9" s="93"/>
      <c r="U9" s="91"/>
      <c r="V9" s="93"/>
    </row>
    <row r="10" spans="1:22" ht="15.75">
      <c r="A10" s="82">
        <v>6</v>
      </c>
      <c r="B10" s="83" t="s">
        <v>11</v>
      </c>
      <c r="C10" s="26">
        <v>15391.71</v>
      </c>
      <c r="D10" s="26">
        <v>22588.87</v>
      </c>
      <c r="E10" s="26">
        <v>27046.32</v>
      </c>
      <c r="F10" s="26">
        <v>386.22</v>
      </c>
      <c r="G10" s="26">
        <v>3151.52</v>
      </c>
      <c r="H10" s="27">
        <v>290.06</v>
      </c>
      <c r="I10" s="26"/>
      <c r="J10" s="26"/>
      <c r="K10" s="26"/>
      <c r="L10" s="26"/>
      <c r="M10" s="26"/>
      <c r="N10" s="26"/>
      <c r="O10" s="26"/>
      <c r="P10" s="26"/>
      <c r="Q10" s="84">
        <f t="shared" si="1"/>
        <v>290.06</v>
      </c>
      <c r="R10" s="85">
        <f t="shared" si="0"/>
        <v>68854.7</v>
      </c>
      <c r="S10" s="86">
        <f t="shared" si="2"/>
        <v>68564.64</v>
      </c>
      <c r="T10" s="93"/>
      <c r="U10" s="91"/>
      <c r="V10" s="93"/>
    </row>
    <row r="11" spans="1:22" ht="15.75">
      <c r="A11" s="82">
        <v>7</v>
      </c>
      <c r="B11" s="83" t="s">
        <v>12</v>
      </c>
      <c r="C11" s="26"/>
      <c r="D11" s="26"/>
      <c r="E11" s="26"/>
      <c r="F11" s="26"/>
      <c r="G11" s="26"/>
      <c r="H11" s="27"/>
      <c r="I11" s="26"/>
      <c r="J11" s="26"/>
      <c r="K11" s="26"/>
      <c r="L11" s="26"/>
      <c r="M11" s="26"/>
      <c r="N11" s="26"/>
      <c r="O11" s="26"/>
      <c r="P11" s="26"/>
      <c r="Q11" s="84">
        <f t="shared" si="1"/>
        <v>0</v>
      </c>
      <c r="R11" s="85">
        <f t="shared" si="0"/>
        <v>0</v>
      </c>
      <c r="S11" s="86">
        <f t="shared" si="2"/>
        <v>0</v>
      </c>
      <c r="T11" s="97"/>
      <c r="U11" s="91"/>
      <c r="V11" s="91"/>
    </row>
    <row r="12" spans="1:22" ht="15.75">
      <c r="A12" s="82">
        <v>8</v>
      </c>
      <c r="B12" s="83" t="s">
        <v>13</v>
      </c>
      <c r="C12" s="26">
        <f>13133.08+11601.87+4930.03+7109.76+15088.06</f>
        <v>51862.799999999996</v>
      </c>
      <c r="D12" s="26">
        <f>17778.11+12235.93+4858.63+5301.46+19873.51</f>
        <v>60047.64</v>
      </c>
      <c r="E12" s="26">
        <f>21154.24+7797.65+6143.99+6132.64+79671.35</f>
        <v>120899.87</v>
      </c>
      <c r="F12" s="26">
        <f>1419.26+1771.27+103.35+775.27+899.34</f>
        <v>4968.49</v>
      </c>
      <c r="G12" s="26">
        <f>2021.5+1361.14+575.78+590.83+1999.07</f>
        <v>6548.32</v>
      </c>
      <c r="H12" s="27">
        <f>290.06+1268.26</f>
        <v>1558.32</v>
      </c>
      <c r="I12" s="26"/>
      <c r="J12" s="26"/>
      <c r="K12" s="26"/>
      <c r="L12" s="26">
        <v>14989.39</v>
      </c>
      <c r="M12" s="26">
        <v>1461.19</v>
      </c>
      <c r="N12" s="26">
        <f>2922.38+2922.38</f>
        <v>5844.76</v>
      </c>
      <c r="O12" s="26"/>
      <c r="P12" s="26"/>
      <c r="Q12" s="84">
        <f t="shared" si="1"/>
        <v>23853.659999999996</v>
      </c>
      <c r="R12" s="85">
        <f t="shared" si="0"/>
        <v>268180.78</v>
      </c>
      <c r="S12" s="86">
        <f t="shared" si="2"/>
        <v>244327.12000000002</v>
      </c>
      <c r="T12" s="93"/>
      <c r="U12" s="91"/>
      <c r="V12" s="93"/>
    </row>
    <row r="13" spans="1:22" ht="15.75">
      <c r="A13" s="82">
        <v>9</v>
      </c>
      <c r="B13" s="83" t="s">
        <v>112</v>
      </c>
      <c r="C13" s="26">
        <f>17127.12+15085.48+6885.31+7639.54+7030.11+3077.77+2814.66</f>
        <v>59659.98999999999</v>
      </c>
      <c r="D13" s="26">
        <f>23720.9+17959.91+5350.54+9868.93+7877.03+2370.79+3059.31</f>
        <v>70207.40999999999</v>
      </c>
      <c r="E13" s="26">
        <f>10577.85+9690.71+17113.86+4597.91+6436.96+1628.14+2015.21</f>
        <v>52060.64</v>
      </c>
      <c r="F13" s="26">
        <f>395.2+836.32+190.33+564.43+203.62+23.32+412</f>
        <v>2625.22</v>
      </c>
      <c r="G13" s="26">
        <f>3369.36+1872.46+689.04+1074.22+628.86+482.14+306.08</f>
        <v>8422.16</v>
      </c>
      <c r="H13" s="27">
        <v>580.12</v>
      </c>
      <c r="I13" s="26"/>
      <c r="J13" s="26"/>
      <c r="K13" s="26">
        <v>5844.76</v>
      </c>
      <c r="L13" s="26"/>
      <c r="M13" s="26"/>
      <c r="N13" s="26">
        <v>2922.38</v>
      </c>
      <c r="O13" s="26"/>
      <c r="P13" s="26"/>
      <c r="Q13" s="84">
        <f t="shared" si="1"/>
        <v>9347.26</v>
      </c>
      <c r="R13" s="85">
        <f t="shared" si="0"/>
        <v>202322.68</v>
      </c>
      <c r="S13" s="86">
        <f t="shared" si="2"/>
        <v>192975.41999999998</v>
      </c>
      <c r="T13" s="93"/>
      <c r="U13" s="91"/>
      <c r="V13" s="93"/>
    </row>
    <row r="14" spans="1:22" ht="15.75">
      <c r="A14" s="82">
        <v>10</v>
      </c>
      <c r="B14" s="83" t="s">
        <v>14</v>
      </c>
      <c r="C14" s="26">
        <v>12685.65</v>
      </c>
      <c r="D14" s="26">
        <v>44949.07</v>
      </c>
      <c r="E14" s="26">
        <v>34752.79</v>
      </c>
      <c r="F14" s="26">
        <v>3156.14</v>
      </c>
      <c r="G14" s="26">
        <v>842.35</v>
      </c>
      <c r="H14" s="27">
        <v>4083.5</v>
      </c>
      <c r="I14" s="26"/>
      <c r="J14" s="26">
        <v>3667.2</v>
      </c>
      <c r="K14" s="26"/>
      <c r="L14" s="26">
        <v>16917.94</v>
      </c>
      <c r="M14" s="26"/>
      <c r="N14" s="26">
        <v>6182.7</v>
      </c>
      <c r="O14" s="26"/>
      <c r="P14" s="26"/>
      <c r="Q14" s="84">
        <f t="shared" si="1"/>
        <v>30851.34</v>
      </c>
      <c r="R14" s="85">
        <f t="shared" si="0"/>
        <v>127237.34000000001</v>
      </c>
      <c r="S14" s="86">
        <f t="shared" si="2"/>
        <v>96386.00000000001</v>
      </c>
      <c r="T14" s="93"/>
      <c r="U14" s="91"/>
      <c r="V14" s="93"/>
    </row>
    <row r="15" spans="1:22" ht="15.75">
      <c r="A15" s="82">
        <v>11</v>
      </c>
      <c r="B15" s="83" t="s">
        <v>15</v>
      </c>
      <c r="C15" s="26">
        <f>9445.22+1157.52+8999.01</f>
        <v>19601.75</v>
      </c>
      <c r="D15" s="28">
        <f>13856.95+1000.4+13404.56</f>
        <v>28261.91</v>
      </c>
      <c r="E15" s="26">
        <f>19898.85+615.97+5645.63</f>
        <v>26160.45</v>
      </c>
      <c r="F15" s="26">
        <f>303.73+30.63+503.61</f>
        <v>837.97</v>
      </c>
      <c r="G15" s="26">
        <f>1737.7+91.55+1514.27</f>
        <v>3343.52</v>
      </c>
      <c r="H15" s="27">
        <v>290.06</v>
      </c>
      <c r="I15" s="26"/>
      <c r="J15" s="26"/>
      <c r="K15" s="26"/>
      <c r="L15" s="26"/>
      <c r="M15" s="26"/>
      <c r="N15" s="26"/>
      <c r="O15" s="26"/>
      <c r="P15" s="26"/>
      <c r="Q15" s="84">
        <f t="shared" si="1"/>
        <v>290.06</v>
      </c>
      <c r="R15" s="85">
        <f t="shared" si="0"/>
        <v>78495.66</v>
      </c>
      <c r="S15" s="86">
        <f t="shared" si="2"/>
        <v>78205.6</v>
      </c>
      <c r="T15" s="93"/>
      <c r="U15" s="91"/>
      <c r="V15" s="93"/>
    </row>
    <row r="16" spans="1:22" ht="15.75">
      <c r="A16" s="82">
        <v>12</v>
      </c>
      <c r="B16" s="83" t="s">
        <v>16</v>
      </c>
      <c r="C16" s="26">
        <f>19389.7+19757.83+30187.19</f>
        <v>69334.72</v>
      </c>
      <c r="D16" s="26">
        <f>23135.8+21634.57+32102.93</f>
        <v>76873.29999999999</v>
      </c>
      <c r="E16" s="26">
        <f>11155.03+14732.05+22360.17</f>
        <v>48247.25</v>
      </c>
      <c r="F16" s="26">
        <f>1024.76+1064.43+1480.1</f>
        <v>3569.29</v>
      </c>
      <c r="G16" s="26">
        <f>2375.76+2741.53+3317.93</f>
        <v>8435.220000000001</v>
      </c>
      <c r="H16" s="27">
        <v>290.06</v>
      </c>
      <c r="I16" s="26"/>
      <c r="J16" s="26"/>
      <c r="K16" s="26">
        <v>2922.38</v>
      </c>
      <c r="L16" s="26">
        <f>2922.38+18520.12</f>
        <v>21442.5</v>
      </c>
      <c r="M16" s="26">
        <v>2922.38</v>
      </c>
      <c r="N16" s="26">
        <f>6222.25+15548.97</f>
        <v>21771.22</v>
      </c>
      <c r="O16" s="26">
        <v>1815.63</v>
      </c>
      <c r="P16" s="26"/>
      <c r="Q16" s="84">
        <f t="shared" si="1"/>
        <v>51164.17</v>
      </c>
      <c r="R16" s="85">
        <f t="shared" si="0"/>
        <v>257623.95</v>
      </c>
      <c r="S16" s="86">
        <f t="shared" si="2"/>
        <v>206459.78000000003</v>
      </c>
      <c r="T16" s="93"/>
      <c r="U16" s="91"/>
      <c r="V16" s="93"/>
    </row>
    <row r="17" spans="1:22" ht="15.75">
      <c r="A17" s="82">
        <v>13</v>
      </c>
      <c r="B17" s="83" t="s">
        <v>17</v>
      </c>
      <c r="C17" s="26">
        <v>27255.31</v>
      </c>
      <c r="D17" s="26">
        <v>34235.91</v>
      </c>
      <c r="E17" s="26">
        <v>23147.05</v>
      </c>
      <c r="F17" s="26">
        <v>2040.78</v>
      </c>
      <c r="G17" s="26">
        <v>4231.28</v>
      </c>
      <c r="H17" s="27">
        <v>5952.32</v>
      </c>
      <c r="I17" s="26"/>
      <c r="J17" s="26"/>
      <c r="K17" s="26"/>
      <c r="L17" s="26"/>
      <c r="M17" s="26"/>
      <c r="N17" s="26"/>
      <c r="O17" s="26"/>
      <c r="P17" s="26"/>
      <c r="Q17" s="84">
        <f t="shared" si="1"/>
        <v>5952.32</v>
      </c>
      <c r="R17" s="85">
        <f t="shared" si="0"/>
        <v>96862.65</v>
      </c>
      <c r="S17" s="86">
        <f t="shared" si="2"/>
        <v>90910.32999999999</v>
      </c>
      <c r="T17" s="93"/>
      <c r="U17" s="91"/>
      <c r="V17" s="93"/>
    </row>
    <row r="18" spans="1:25" ht="15.75">
      <c r="A18" s="82">
        <v>14</v>
      </c>
      <c r="B18" s="83" t="s">
        <v>18</v>
      </c>
      <c r="C18" s="26">
        <v>19039.23</v>
      </c>
      <c r="D18" s="26">
        <v>12854.07</v>
      </c>
      <c r="E18" s="26">
        <v>8690.06</v>
      </c>
      <c r="F18" s="26">
        <v>1158.32</v>
      </c>
      <c r="G18" s="26">
        <v>1940.74</v>
      </c>
      <c r="H18" s="27"/>
      <c r="I18" s="26"/>
      <c r="J18" s="26"/>
      <c r="K18" s="26"/>
      <c r="L18" s="26"/>
      <c r="M18" s="26"/>
      <c r="N18" s="26"/>
      <c r="O18" s="26"/>
      <c r="P18" s="26"/>
      <c r="Q18" s="84">
        <f t="shared" si="1"/>
        <v>0</v>
      </c>
      <c r="R18" s="85">
        <f t="shared" si="0"/>
        <v>43682.42</v>
      </c>
      <c r="S18" s="86">
        <f t="shared" si="2"/>
        <v>43682.42</v>
      </c>
      <c r="T18" s="93"/>
      <c r="U18" s="91"/>
      <c r="V18" s="93"/>
      <c r="W18" s="12"/>
      <c r="X18" s="12"/>
      <c r="Y18" s="12"/>
    </row>
    <row r="19" spans="1:22" ht="15.75">
      <c r="A19" s="82">
        <v>15</v>
      </c>
      <c r="B19" s="83" t="s">
        <v>19</v>
      </c>
      <c r="C19" s="26">
        <f>34655.74+13542.21</f>
        <v>48197.95</v>
      </c>
      <c r="D19" s="26">
        <f>23902.59+10000.79</f>
        <v>33903.380000000005</v>
      </c>
      <c r="E19" s="26">
        <f>22667.25+10091.28</f>
        <v>32758.53</v>
      </c>
      <c r="F19" s="26">
        <f>4521.32+715.7</f>
        <v>5237.0199999999995</v>
      </c>
      <c r="G19" s="26">
        <f>3172.55+767.08</f>
        <v>3939.63</v>
      </c>
      <c r="H19" s="27"/>
      <c r="I19" s="26"/>
      <c r="J19" s="26"/>
      <c r="K19" s="26"/>
      <c r="L19" s="26"/>
      <c r="M19" s="26"/>
      <c r="N19" s="26"/>
      <c r="O19" s="26"/>
      <c r="P19" s="26"/>
      <c r="Q19" s="84">
        <f t="shared" si="1"/>
        <v>0</v>
      </c>
      <c r="R19" s="85">
        <f t="shared" si="0"/>
        <v>124036.51000000001</v>
      </c>
      <c r="S19" s="86">
        <f t="shared" si="2"/>
        <v>124036.51000000001</v>
      </c>
      <c r="T19" s="93"/>
      <c r="U19" s="91"/>
      <c r="V19" s="93"/>
    </row>
    <row r="20" spans="1:22" ht="15.75">
      <c r="A20" s="82">
        <v>16</v>
      </c>
      <c r="B20" s="83" t="s">
        <v>20</v>
      </c>
      <c r="C20" s="26">
        <f>10583.05+4238.27</f>
        <v>14821.32</v>
      </c>
      <c r="D20" s="26">
        <f>12951.57+3465.88</f>
        <v>16417.45</v>
      </c>
      <c r="E20" s="26">
        <f>3656.71+2955.13</f>
        <v>6611.84</v>
      </c>
      <c r="F20" s="26">
        <f>1030.14+305.6</f>
        <v>1335.7400000000002</v>
      </c>
      <c r="G20" s="26">
        <f>1545.11+466.41</f>
        <v>2011.52</v>
      </c>
      <c r="H20" s="29"/>
      <c r="I20" s="26"/>
      <c r="J20" s="26"/>
      <c r="K20" s="26"/>
      <c r="L20" s="26"/>
      <c r="M20" s="26"/>
      <c r="N20" s="26"/>
      <c r="O20" s="26"/>
      <c r="P20" s="26"/>
      <c r="Q20" s="84">
        <f t="shared" si="1"/>
        <v>0</v>
      </c>
      <c r="R20" s="85">
        <f t="shared" si="0"/>
        <v>41197.869999999995</v>
      </c>
      <c r="S20" s="86">
        <f t="shared" si="2"/>
        <v>41197.869999999995</v>
      </c>
      <c r="T20" s="93"/>
      <c r="U20" s="91"/>
      <c r="V20" s="93"/>
    </row>
    <row r="21" spans="1:22" ht="15.75">
      <c r="A21" s="82">
        <v>17</v>
      </c>
      <c r="B21" s="83" t="s">
        <v>21</v>
      </c>
      <c r="C21" s="26"/>
      <c r="D21" s="26"/>
      <c r="E21" s="26"/>
      <c r="F21" s="26"/>
      <c r="G21" s="26"/>
      <c r="H21" s="27"/>
      <c r="I21" s="26"/>
      <c r="J21" s="26"/>
      <c r="K21" s="26"/>
      <c r="L21" s="26"/>
      <c r="M21" s="26"/>
      <c r="N21" s="26"/>
      <c r="O21" s="26"/>
      <c r="P21" s="26"/>
      <c r="Q21" s="84">
        <f t="shared" si="1"/>
        <v>0</v>
      </c>
      <c r="R21" s="85">
        <f t="shared" si="0"/>
        <v>0</v>
      </c>
      <c r="S21" s="86">
        <f t="shared" si="2"/>
        <v>0</v>
      </c>
      <c r="T21" s="97"/>
      <c r="U21" s="91"/>
      <c r="V21" s="91"/>
    </row>
    <row r="22" spans="1:22" ht="15.75">
      <c r="A22" s="82">
        <v>18</v>
      </c>
      <c r="B22" s="83" t="s">
        <v>22</v>
      </c>
      <c r="C22" s="26">
        <v>1417.09</v>
      </c>
      <c r="D22" s="26">
        <v>1482.59</v>
      </c>
      <c r="E22" s="26">
        <v>944.24</v>
      </c>
      <c r="F22" s="26"/>
      <c r="G22" s="26">
        <v>254.48</v>
      </c>
      <c r="H22" s="27"/>
      <c r="I22" s="26"/>
      <c r="J22" s="26"/>
      <c r="K22" s="26"/>
      <c r="L22" s="26"/>
      <c r="M22" s="26"/>
      <c r="N22" s="26"/>
      <c r="O22" s="26"/>
      <c r="P22" s="26"/>
      <c r="Q22" s="84">
        <f t="shared" si="1"/>
        <v>0</v>
      </c>
      <c r="R22" s="85">
        <f t="shared" si="0"/>
        <v>4098.4</v>
      </c>
      <c r="S22" s="86">
        <f t="shared" si="2"/>
        <v>4098.4</v>
      </c>
      <c r="T22" s="93"/>
      <c r="U22" s="91"/>
      <c r="V22" s="93"/>
    </row>
    <row r="23" spans="1:22" ht="15.75">
      <c r="A23" s="82">
        <v>19</v>
      </c>
      <c r="B23" s="83" t="s">
        <v>23</v>
      </c>
      <c r="C23" s="26">
        <f>3528.85+3805.21+1668.06+2707.15+1644.39</f>
        <v>13353.659999999998</v>
      </c>
      <c r="D23" s="26">
        <f>4931.04+2958.96+1096.79+2816.14+706.11</f>
        <v>12509.04</v>
      </c>
      <c r="E23" s="26">
        <f>893.6+1512.46+1174.66+1318.38+566.34</f>
        <v>5465.4400000000005</v>
      </c>
      <c r="F23" s="26">
        <f>362.5+777.3+200.48+287.2+186.47</f>
        <v>1813.95</v>
      </c>
      <c r="G23" s="26">
        <f>726.16+536.66+277.74+356.07+147.86</f>
        <v>2044.4899999999998</v>
      </c>
      <c r="H23" s="27"/>
      <c r="I23" s="26"/>
      <c r="J23" s="26"/>
      <c r="K23" s="26"/>
      <c r="L23" s="26"/>
      <c r="M23" s="26"/>
      <c r="N23" s="26"/>
      <c r="O23" s="26"/>
      <c r="P23" s="26"/>
      <c r="Q23" s="84">
        <f t="shared" si="1"/>
        <v>0</v>
      </c>
      <c r="R23" s="85">
        <f t="shared" si="0"/>
        <v>35186.579999999994</v>
      </c>
      <c r="S23" s="86">
        <f t="shared" si="2"/>
        <v>35186.579999999994</v>
      </c>
      <c r="T23" s="93"/>
      <c r="U23" s="91"/>
      <c r="V23" s="93"/>
    </row>
    <row r="24" spans="1:22" ht="15.75">
      <c r="A24" s="82">
        <v>20</v>
      </c>
      <c r="B24" s="83" t="s">
        <v>24</v>
      </c>
      <c r="C24" s="26">
        <v>16485.29</v>
      </c>
      <c r="D24" s="26">
        <v>19311.49</v>
      </c>
      <c r="E24" s="26">
        <v>12751.39</v>
      </c>
      <c r="F24" s="26">
        <v>519.3</v>
      </c>
      <c r="G24" s="26">
        <v>3442.12</v>
      </c>
      <c r="H24" s="27">
        <v>1068.17</v>
      </c>
      <c r="I24" s="26">
        <v>778.11</v>
      </c>
      <c r="J24" s="26">
        <v>13810.57</v>
      </c>
      <c r="K24" s="26"/>
      <c r="L24" s="26"/>
      <c r="M24" s="26"/>
      <c r="N24" s="26">
        <v>3859.45</v>
      </c>
      <c r="O24" s="26"/>
      <c r="P24" s="26"/>
      <c r="Q24" s="84">
        <f t="shared" si="1"/>
        <v>19516.3</v>
      </c>
      <c r="R24" s="85">
        <f t="shared" si="0"/>
        <v>72025.89</v>
      </c>
      <c r="S24" s="86">
        <f t="shared" si="2"/>
        <v>52509.59</v>
      </c>
      <c r="T24" s="93"/>
      <c r="U24" s="91"/>
      <c r="V24" s="93"/>
    </row>
    <row r="25" spans="1:22" ht="15.75">
      <c r="A25" s="82">
        <v>21</v>
      </c>
      <c r="B25" s="83" t="s">
        <v>25</v>
      </c>
      <c r="C25" s="26">
        <f>14813.49+8502.15+19794.88+2028.64+5609.5+2956.8</f>
        <v>53705.46000000001</v>
      </c>
      <c r="D25" s="26">
        <f>17398.35+7018.03+18942.63+2491.56+3619.27+3935.12</f>
        <v>53404.95999999999</v>
      </c>
      <c r="E25" s="26">
        <f>17817.56+3273.97+8873.76+969.68+670.5+1810.84</f>
        <v>33416.31</v>
      </c>
      <c r="F25" s="26">
        <f>928.03+2085.65+917.51+155.3+6391.21+223.14</f>
        <v>10700.84</v>
      </c>
      <c r="G25" s="26">
        <f>2937.66+735.74+3541.4+336.2+282.28+171.71</f>
        <v>8004.989999999999</v>
      </c>
      <c r="H25" s="27">
        <v>4724.69</v>
      </c>
      <c r="I25" s="26"/>
      <c r="J25" s="26"/>
      <c r="K25" s="26"/>
      <c r="L25" s="26">
        <v>3299.87</v>
      </c>
      <c r="M25" s="26"/>
      <c r="N25" s="26"/>
      <c r="O25" s="26"/>
      <c r="P25" s="26"/>
      <c r="Q25" s="84">
        <f t="shared" si="1"/>
        <v>8024.5599999999995</v>
      </c>
      <c r="R25" s="85">
        <f t="shared" si="0"/>
        <v>167257.11999999997</v>
      </c>
      <c r="S25" s="86">
        <f t="shared" si="2"/>
        <v>159232.55999999997</v>
      </c>
      <c r="T25" s="93"/>
      <c r="U25" s="91"/>
      <c r="V25" s="93"/>
    </row>
    <row r="26" spans="1:22" ht="15.75">
      <c r="A26" s="82">
        <v>22</v>
      </c>
      <c r="B26" s="83" t="s">
        <v>26</v>
      </c>
      <c r="C26" s="26">
        <v>5801.62</v>
      </c>
      <c r="D26" s="26">
        <v>5140.5</v>
      </c>
      <c r="E26" s="26">
        <v>2560.64</v>
      </c>
      <c r="F26" s="26">
        <v>235.69</v>
      </c>
      <c r="G26" s="26">
        <v>786.82</v>
      </c>
      <c r="H26" s="27"/>
      <c r="I26" s="26"/>
      <c r="J26" s="26"/>
      <c r="K26" s="26"/>
      <c r="L26" s="26"/>
      <c r="M26" s="26"/>
      <c r="N26" s="26"/>
      <c r="O26" s="26"/>
      <c r="P26" s="26"/>
      <c r="Q26" s="84">
        <f t="shared" si="1"/>
        <v>0</v>
      </c>
      <c r="R26" s="85">
        <f t="shared" si="0"/>
        <v>14525.269999999999</v>
      </c>
      <c r="S26" s="86">
        <f t="shared" si="2"/>
        <v>14525.269999999999</v>
      </c>
      <c r="T26" s="93"/>
      <c r="U26" s="91"/>
      <c r="V26" s="93"/>
    </row>
    <row r="27" spans="1:22" ht="15.75">
      <c r="A27" s="82">
        <v>23</v>
      </c>
      <c r="B27" s="83" t="s">
        <v>27</v>
      </c>
      <c r="C27" s="26">
        <f>6155.33+2054.05</f>
        <v>8209.380000000001</v>
      </c>
      <c r="D27" s="26">
        <f>3651.52+2184.17</f>
        <v>5835.6900000000005</v>
      </c>
      <c r="E27" s="26">
        <f>3943.99+1096.22</f>
        <v>5040.21</v>
      </c>
      <c r="F27" s="26">
        <f>577.02+232.68</f>
        <v>809.7</v>
      </c>
      <c r="G27" s="26">
        <f>221.21+333.15</f>
        <v>554.36</v>
      </c>
      <c r="H27" s="27"/>
      <c r="I27" s="26"/>
      <c r="J27" s="26"/>
      <c r="K27" s="26"/>
      <c r="L27" s="26"/>
      <c r="M27" s="26"/>
      <c r="N27" s="26"/>
      <c r="O27" s="26"/>
      <c r="P27" s="26"/>
      <c r="Q27" s="84">
        <f t="shared" si="1"/>
        <v>0</v>
      </c>
      <c r="R27" s="85">
        <f t="shared" si="0"/>
        <v>20449.340000000004</v>
      </c>
      <c r="S27" s="86">
        <f t="shared" si="2"/>
        <v>20449.340000000004</v>
      </c>
      <c r="T27" s="93"/>
      <c r="U27" s="91"/>
      <c r="V27" s="93"/>
    </row>
    <row r="28" spans="1:22" ht="15.75">
      <c r="A28" s="82">
        <v>24</v>
      </c>
      <c r="B28" s="83" t="s">
        <v>28</v>
      </c>
      <c r="C28" s="26">
        <f>13555.49+11424.79+12482.72+6527.64</f>
        <v>43990.64</v>
      </c>
      <c r="D28" s="26">
        <f>16495.74+21052.03+16988+8975.17</f>
        <v>63510.94</v>
      </c>
      <c r="E28" s="26">
        <f>6695.1+14485.55+19681.24+3213.68</f>
        <v>44075.57</v>
      </c>
      <c r="F28" s="26">
        <f>620.37+368.13+379.22+466.05</f>
        <v>1833.77</v>
      </c>
      <c r="G28" s="26">
        <f>1609.09+2079.8+1290.84+1179.74</f>
        <v>6159.47</v>
      </c>
      <c r="H28" s="26">
        <f>446.41+1160.24</f>
        <v>1606.65</v>
      </c>
      <c r="I28" s="26"/>
      <c r="J28" s="26"/>
      <c r="K28" s="26">
        <v>8767.14</v>
      </c>
      <c r="L28" s="26">
        <f>4223.6+70578.38</f>
        <v>74801.98000000001</v>
      </c>
      <c r="M28" s="26">
        <v>2922.38</v>
      </c>
      <c r="N28" s="26">
        <v>5844.76</v>
      </c>
      <c r="O28" s="26"/>
      <c r="P28" s="26">
        <v>35068.56</v>
      </c>
      <c r="Q28" s="84">
        <f t="shared" si="1"/>
        <v>129011.47</v>
      </c>
      <c r="R28" s="85">
        <f t="shared" si="0"/>
        <v>288581.86</v>
      </c>
      <c r="S28" s="86">
        <f t="shared" si="2"/>
        <v>159570.38999999998</v>
      </c>
      <c r="T28" s="93"/>
      <c r="U28" s="91"/>
      <c r="V28" s="93"/>
    </row>
    <row r="29" spans="1:22" ht="15.75">
      <c r="A29" s="82">
        <v>25</v>
      </c>
      <c r="B29" s="83" t="s">
        <v>29</v>
      </c>
      <c r="C29" s="26">
        <v>2392.14</v>
      </c>
      <c r="D29" s="26">
        <v>3641.1</v>
      </c>
      <c r="E29" s="26">
        <v>4568.62</v>
      </c>
      <c r="F29" s="26">
        <v>19.86</v>
      </c>
      <c r="G29" s="26">
        <v>525.3</v>
      </c>
      <c r="H29" s="27"/>
      <c r="I29" s="26"/>
      <c r="J29" s="26"/>
      <c r="K29" s="26"/>
      <c r="L29" s="26"/>
      <c r="M29" s="26"/>
      <c r="N29" s="26">
        <v>3859.45</v>
      </c>
      <c r="O29" s="26"/>
      <c r="P29" s="26"/>
      <c r="Q29" s="84">
        <f t="shared" si="1"/>
        <v>3859.45</v>
      </c>
      <c r="R29" s="85">
        <f t="shared" si="0"/>
        <v>15006.470000000001</v>
      </c>
      <c r="S29" s="86">
        <f t="shared" si="2"/>
        <v>11147.02</v>
      </c>
      <c r="T29" s="93"/>
      <c r="U29" s="91"/>
      <c r="V29" s="93"/>
    </row>
    <row r="30" spans="1:22" ht="15.75">
      <c r="A30" s="82">
        <v>26</v>
      </c>
      <c r="B30" s="83" t="s">
        <v>30</v>
      </c>
      <c r="C30" s="26">
        <f>11746.56+6286.74</f>
        <v>18033.3</v>
      </c>
      <c r="D30" s="26">
        <f>14562.61+4525.62</f>
        <v>19088.23</v>
      </c>
      <c r="E30" s="26">
        <f>3698.32+2527.7</f>
        <v>6226.02</v>
      </c>
      <c r="F30" s="26">
        <f>1109.95+666.47</f>
        <v>1776.42</v>
      </c>
      <c r="G30" s="26">
        <f>2009.08+830.99</f>
        <v>2840.0699999999997</v>
      </c>
      <c r="H30" s="27"/>
      <c r="I30" s="26"/>
      <c r="J30" s="26"/>
      <c r="K30" s="26"/>
      <c r="L30" s="26">
        <v>3260.32</v>
      </c>
      <c r="M30" s="26"/>
      <c r="N30" s="26"/>
      <c r="O30" s="26"/>
      <c r="P30" s="26"/>
      <c r="Q30" s="84">
        <f t="shared" si="1"/>
        <v>3260.32</v>
      </c>
      <c r="R30" s="85">
        <f t="shared" si="0"/>
        <v>51224.36</v>
      </c>
      <c r="S30" s="86">
        <f t="shared" si="2"/>
        <v>47964.04</v>
      </c>
      <c r="T30" s="93"/>
      <c r="U30" s="91"/>
      <c r="V30" s="93"/>
    </row>
    <row r="31" spans="1:22" ht="15.75">
      <c r="A31" s="82">
        <v>27</v>
      </c>
      <c r="B31" s="83" t="s">
        <v>31</v>
      </c>
      <c r="C31" s="26">
        <f>5922.45+3210.48</f>
        <v>9132.93</v>
      </c>
      <c r="D31" s="26">
        <f>4803.62+3090.88</f>
        <v>7894.5</v>
      </c>
      <c r="E31" s="26">
        <f>8699.43+3789.81</f>
        <v>12489.24</v>
      </c>
      <c r="F31" s="26">
        <f>414.98+33.04</f>
        <v>448.02000000000004</v>
      </c>
      <c r="G31" s="26">
        <f>498.84+211.34</f>
        <v>710.18</v>
      </c>
      <c r="H31" s="27"/>
      <c r="I31" s="26"/>
      <c r="J31" s="26"/>
      <c r="K31" s="26"/>
      <c r="L31" s="26"/>
      <c r="M31" s="26"/>
      <c r="N31" s="26"/>
      <c r="O31" s="26"/>
      <c r="P31" s="26"/>
      <c r="Q31" s="84">
        <f t="shared" si="1"/>
        <v>0</v>
      </c>
      <c r="R31" s="85">
        <f t="shared" si="0"/>
        <v>30674.87</v>
      </c>
      <c r="S31" s="86">
        <f t="shared" si="2"/>
        <v>30674.87</v>
      </c>
      <c r="T31" s="93"/>
      <c r="U31" s="91"/>
      <c r="V31" s="93"/>
    </row>
    <row r="32" spans="1:22" ht="15.75">
      <c r="A32" s="82">
        <v>28</v>
      </c>
      <c r="B32" s="83" t="s">
        <v>32</v>
      </c>
      <c r="C32" s="26">
        <f>17314.19+12383.54+14207.25</f>
        <v>43904.979999999996</v>
      </c>
      <c r="D32" s="26">
        <f>25742.23+17195.81+12570.62</f>
        <v>55508.66</v>
      </c>
      <c r="E32" s="26">
        <f>4927.62+13707.98+3474.3</f>
        <v>22109.899999999998</v>
      </c>
      <c r="F32" s="26">
        <f>787.51+563.17+299.12</f>
        <v>1649.7999999999997</v>
      </c>
      <c r="G32" s="26">
        <f>2585.02+1934.46+2059.75</f>
        <v>6579.23</v>
      </c>
      <c r="H32" s="27"/>
      <c r="I32" s="26"/>
      <c r="J32" s="26"/>
      <c r="K32" s="26"/>
      <c r="L32" s="26"/>
      <c r="M32" s="26">
        <v>2922.38</v>
      </c>
      <c r="N32" s="26"/>
      <c r="O32" s="26"/>
      <c r="P32" s="26"/>
      <c r="Q32" s="84">
        <f t="shared" si="1"/>
        <v>2922.38</v>
      </c>
      <c r="R32" s="85">
        <f t="shared" si="0"/>
        <v>132674.94999999998</v>
      </c>
      <c r="S32" s="86">
        <f t="shared" si="2"/>
        <v>129752.56999999998</v>
      </c>
      <c r="T32" s="93"/>
      <c r="U32" s="91"/>
      <c r="V32" s="93"/>
    </row>
    <row r="33" spans="1:22" ht="15.75">
      <c r="A33" s="82">
        <v>29</v>
      </c>
      <c r="B33" s="83" t="s">
        <v>33</v>
      </c>
      <c r="C33" s="26">
        <f>29504.37+4166.93</f>
        <v>33671.3</v>
      </c>
      <c r="D33" s="26">
        <f>31315.33+3322.91</f>
        <v>34638.240000000005</v>
      </c>
      <c r="E33" s="26">
        <f>14131.67+858.28</f>
        <v>14989.95</v>
      </c>
      <c r="F33" s="26">
        <f>2606.35+458.08</f>
        <v>3064.43</v>
      </c>
      <c r="G33" s="26">
        <f>4344.63+553.49</f>
        <v>4898.12</v>
      </c>
      <c r="H33" s="27">
        <v>580.12</v>
      </c>
      <c r="I33" s="26"/>
      <c r="J33" s="26"/>
      <c r="K33" s="26"/>
      <c r="L33" s="26"/>
      <c r="M33" s="26"/>
      <c r="N33" s="26"/>
      <c r="O33" s="26"/>
      <c r="P33" s="26"/>
      <c r="Q33" s="84">
        <f t="shared" si="1"/>
        <v>580.12</v>
      </c>
      <c r="R33" s="85">
        <f t="shared" si="0"/>
        <v>91842.15999999999</v>
      </c>
      <c r="S33" s="86">
        <f t="shared" si="2"/>
        <v>91262.04</v>
      </c>
      <c r="T33" s="93"/>
      <c r="U33" s="91"/>
      <c r="V33" s="93"/>
    </row>
    <row r="34" spans="1:22" ht="15.75">
      <c r="A34" s="82">
        <v>30</v>
      </c>
      <c r="B34" s="83" t="s">
        <v>34</v>
      </c>
      <c r="C34" s="26"/>
      <c r="D34" s="26"/>
      <c r="E34" s="26"/>
      <c r="F34" s="26"/>
      <c r="G34" s="26"/>
      <c r="H34" s="27"/>
      <c r="I34" s="26"/>
      <c r="J34" s="26"/>
      <c r="K34" s="26"/>
      <c r="L34" s="26"/>
      <c r="M34" s="26"/>
      <c r="N34" s="26"/>
      <c r="O34" s="26"/>
      <c r="P34" s="26"/>
      <c r="Q34" s="84">
        <f t="shared" si="1"/>
        <v>0</v>
      </c>
      <c r="R34" s="85">
        <f t="shared" si="0"/>
        <v>0</v>
      </c>
      <c r="S34" s="86">
        <f t="shared" si="2"/>
        <v>0</v>
      </c>
      <c r="T34" s="97"/>
      <c r="U34" s="91"/>
      <c r="V34" s="91"/>
    </row>
    <row r="35" spans="1:22" ht="15.75">
      <c r="A35" s="82">
        <v>31</v>
      </c>
      <c r="B35" s="83" t="s">
        <v>87</v>
      </c>
      <c r="C35" s="26">
        <v>3997.12</v>
      </c>
      <c r="D35" s="26">
        <v>4169.67</v>
      </c>
      <c r="E35" s="26">
        <v>1764.39</v>
      </c>
      <c r="F35" s="26">
        <v>239.95</v>
      </c>
      <c r="G35" s="26">
        <v>546.32</v>
      </c>
      <c r="H35" s="27"/>
      <c r="I35" s="26"/>
      <c r="J35" s="26"/>
      <c r="K35" s="26"/>
      <c r="L35" s="26"/>
      <c r="M35" s="26"/>
      <c r="N35" s="26"/>
      <c r="O35" s="26"/>
      <c r="P35" s="26"/>
      <c r="Q35" s="84">
        <f t="shared" si="1"/>
        <v>0</v>
      </c>
      <c r="R35" s="85">
        <f t="shared" si="0"/>
        <v>10717.45</v>
      </c>
      <c r="S35" s="86">
        <f t="shared" si="2"/>
        <v>10717.45</v>
      </c>
      <c r="T35" s="93"/>
      <c r="U35" s="91"/>
      <c r="V35" s="93"/>
    </row>
    <row r="36" spans="1:22" ht="15.75">
      <c r="A36" s="82">
        <v>32</v>
      </c>
      <c r="B36" s="83" t="s">
        <v>89</v>
      </c>
      <c r="C36" s="26">
        <f>12609.52+3256.89+2778.54+1781.13</f>
        <v>20426.08</v>
      </c>
      <c r="D36" s="26">
        <f>11074.16+2482.25+2582.97+1374.24</f>
        <v>17513.62</v>
      </c>
      <c r="E36" s="26">
        <f>8747.03+816.21+3572.18+804.76</f>
        <v>13940.180000000002</v>
      </c>
      <c r="F36" s="26">
        <f>869.32+13.77+44.85+306.77</f>
        <v>1234.71</v>
      </c>
      <c r="G36" s="26">
        <f>976.21+324.07+211.72+224.12</f>
        <v>1736.12</v>
      </c>
      <c r="H36" s="27"/>
      <c r="I36" s="26"/>
      <c r="J36" s="26"/>
      <c r="K36" s="26"/>
      <c r="L36" s="26"/>
      <c r="M36" s="26"/>
      <c r="N36" s="26"/>
      <c r="O36" s="26"/>
      <c r="P36" s="26"/>
      <c r="Q36" s="84">
        <f t="shared" si="1"/>
        <v>0</v>
      </c>
      <c r="R36" s="85">
        <f t="shared" si="0"/>
        <v>54850.71</v>
      </c>
      <c r="S36" s="86">
        <f t="shared" si="2"/>
        <v>54850.71</v>
      </c>
      <c r="T36" s="93"/>
      <c r="U36" s="91"/>
      <c r="V36" s="93"/>
    </row>
    <row r="37" spans="1:22" ht="15.75">
      <c r="A37" s="82">
        <v>33</v>
      </c>
      <c r="B37" s="83" t="s">
        <v>90</v>
      </c>
      <c r="C37" s="26">
        <v>17763.03</v>
      </c>
      <c r="D37" s="26">
        <v>21601.37</v>
      </c>
      <c r="E37" s="26">
        <v>8827.9</v>
      </c>
      <c r="F37" s="26">
        <v>684.32</v>
      </c>
      <c r="G37" s="26">
        <v>2386.6</v>
      </c>
      <c r="H37" s="27"/>
      <c r="I37" s="26"/>
      <c r="J37" s="26"/>
      <c r="K37" s="26"/>
      <c r="L37" s="26"/>
      <c r="M37" s="26"/>
      <c r="N37" s="26"/>
      <c r="O37" s="26"/>
      <c r="P37" s="26"/>
      <c r="Q37" s="84">
        <f t="shared" si="1"/>
        <v>0</v>
      </c>
      <c r="R37" s="85">
        <f t="shared" si="0"/>
        <v>51263.219999999994</v>
      </c>
      <c r="S37" s="86">
        <f t="shared" si="2"/>
        <v>51263.219999999994</v>
      </c>
      <c r="T37" s="93"/>
      <c r="U37" s="91"/>
      <c r="V37" s="93"/>
    </row>
    <row r="38" spans="1:22" ht="15.75">
      <c r="A38" s="82">
        <v>34</v>
      </c>
      <c r="B38" s="83" t="s">
        <v>93</v>
      </c>
      <c r="C38" s="26">
        <v>7817.68</v>
      </c>
      <c r="D38" s="26">
        <v>5806.27</v>
      </c>
      <c r="E38" s="26">
        <v>4269.86</v>
      </c>
      <c r="F38" s="26">
        <v>716.74</v>
      </c>
      <c r="G38" s="26">
        <v>1003.03</v>
      </c>
      <c r="H38" s="27"/>
      <c r="I38" s="26"/>
      <c r="J38" s="26"/>
      <c r="K38" s="26"/>
      <c r="L38" s="26"/>
      <c r="M38" s="26"/>
      <c r="N38" s="26"/>
      <c r="O38" s="26"/>
      <c r="P38" s="26"/>
      <c r="Q38" s="84">
        <f t="shared" si="1"/>
        <v>0</v>
      </c>
      <c r="R38" s="85">
        <f t="shared" si="0"/>
        <v>19613.58</v>
      </c>
      <c r="S38" s="86">
        <f t="shared" si="2"/>
        <v>19613.58</v>
      </c>
      <c r="T38" s="93"/>
      <c r="U38" s="91"/>
      <c r="V38" s="93"/>
    </row>
    <row r="39" spans="1:22" ht="15.75">
      <c r="A39" s="82">
        <v>35</v>
      </c>
      <c r="B39" s="83" t="s">
        <v>94</v>
      </c>
      <c r="C39" s="26">
        <v>4774.96</v>
      </c>
      <c r="D39" s="26">
        <v>3805.58</v>
      </c>
      <c r="E39" s="26">
        <v>5045.78</v>
      </c>
      <c r="F39" s="26">
        <v>81.07</v>
      </c>
      <c r="G39" s="26">
        <v>225.07</v>
      </c>
      <c r="H39" s="27"/>
      <c r="I39" s="26"/>
      <c r="J39" s="26"/>
      <c r="K39" s="26"/>
      <c r="L39" s="26"/>
      <c r="M39" s="26"/>
      <c r="N39" s="26"/>
      <c r="O39" s="26"/>
      <c r="P39" s="26"/>
      <c r="Q39" s="84">
        <f t="shared" si="1"/>
        <v>0</v>
      </c>
      <c r="R39" s="85">
        <f t="shared" si="0"/>
        <v>13932.46</v>
      </c>
      <c r="S39" s="86">
        <f t="shared" si="2"/>
        <v>13932.46</v>
      </c>
      <c r="T39" s="93"/>
      <c r="U39" s="91"/>
      <c r="V39" s="93"/>
    </row>
    <row r="40" spans="1:59" s="75" customFormat="1" ht="16.5" thickBot="1">
      <c r="A40" s="82">
        <v>36</v>
      </c>
      <c r="B40" s="83" t="s">
        <v>98</v>
      </c>
      <c r="C40" s="26">
        <v>5818.32</v>
      </c>
      <c r="D40" s="26">
        <v>5843.65</v>
      </c>
      <c r="E40" s="26">
        <v>3660.5</v>
      </c>
      <c r="F40" s="26">
        <v>446.41</v>
      </c>
      <c r="G40" s="26">
        <v>973.66</v>
      </c>
      <c r="H40" s="26">
        <v>290.06</v>
      </c>
      <c r="I40" s="26"/>
      <c r="J40" s="26"/>
      <c r="K40" s="26"/>
      <c r="L40" s="26"/>
      <c r="M40" s="26"/>
      <c r="N40" s="26"/>
      <c r="O40" s="26"/>
      <c r="P40" s="26"/>
      <c r="Q40" s="84">
        <f t="shared" si="1"/>
        <v>290.06</v>
      </c>
      <c r="R40" s="85">
        <f t="shared" si="0"/>
        <v>17032.600000000002</v>
      </c>
      <c r="S40" s="86">
        <f t="shared" si="2"/>
        <v>16742.54</v>
      </c>
      <c r="T40" s="93"/>
      <c r="U40" s="91"/>
      <c r="V40" s="93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</row>
    <row r="41" spans="1:59" s="76" customFormat="1" ht="26.25" customHeight="1" thickBot="1">
      <c r="A41" s="87"/>
      <c r="B41" s="83" t="s">
        <v>35</v>
      </c>
      <c r="C41" s="88">
        <f>SUM(C5:C40)</f>
        <v>755465.54</v>
      </c>
      <c r="D41" s="88">
        <f>SUM(D5:D40)</f>
        <v>848009.0099999999</v>
      </c>
      <c r="E41" s="88">
        <f>SUM(E5:E40)</f>
        <v>669448.9600000001</v>
      </c>
      <c r="F41" s="88">
        <f>SUM(F5:F40)</f>
        <v>61893.679999999986</v>
      </c>
      <c r="G41" s="88">
        <f>SUM(G5:G40)</f>
        <v>100732.49</v>
      </c>
      <c r="H41" s="88">
        <f aca="true" t="shared" si="3" ref="H41:P41">SUM(H5:H40)</f>
        <v>22474.370000000003</v>
      </c>
      <c r="I41" s="88">
        <f t="shared" si="3"/>
        <v>778.11</v>
      </c>
      <c r="J41" s="88">
        <f t="shared" si="3"/>
        <v>18430</v>
      </c>
      <c r="K41" s="88">
        <f t="shared" si="3"/>
        <v>23379.04</v>
      </c>
      <c r="L41" s="88">
        <f t="shared" si="3"/>
        <v>146709.02000000002</v>
      </c>
      <c r="M41" s="88">
        <f t="shared" si="3"/>
        <v>10228.33</v>
      </c>
      <c r="N41" s="88">
        <f t="shared" si="3"/>
        <v>50284.719999999994</v>
      </c>
      <c r="O41" s="88">
        <f t="shared" si="3"/>
        <v>1815.63</v>
      </c>
      <c r="P41" s="88">
        <f t="shared" si="3"/>
        <v>44590.68</v>
      </c>
      <c r="Q41" s="84">
        <f t="shared" si="1"/>
        <v>318689.9</v>
      </c>
      <c r="R41" s="85">
        <f t="shared" si="0"/>
        <v>2754239.5800000005</v>
      </c>
      <c r="S41" s="86">
        <f t="shared" si="2"/>
        <v>2435549.6800000006</v>
      </c>
      <c r="T41" s="97"/>
      <c r="U41" s="91"/>
      <c r="V41" s="91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</row>
    <row r="42" spans="2:19" ht="15.75">
      <c r="B42" s="30"/>
      <c r="C42" s="31"/>
      <c r="D42" s="31"/>
      <c r="E42" s="31"/>
      <c r="F42" s="32"/>
      <c r="G42" s="32"/>
      <c r="H42" s="33"/>
      <c r="I42" s="31"/>
      <c r="J42" s="31"/>
      <c r="K42" s="31"/>
      <c r="L42" s="31"/>
      <c r="M42" s="31"/>
      <c r="N42" s="31"/>
      <c r="O42" s="31"/>
      <c r="P42" s="31"/>
      <c r="Q42" s="31"/>
      <c r="S42" s="33"/>
    </row>
    <row r="43" spans="2:19" ht="15.75">
      <c r="B43" s="34"/>
      <c r="C43" s="31"/>
      <c r="D43" s="31"/>
      <c r="E43" s="31"/>
      <c r="F43" s="32"/>
      <c r="G43" s="32"/>
      <c r="H43" s="33"/>
      <c r="I43" s="31"/>
      <c r="J43" s="31"/>
      <c r="K43" s="31"/>
      <c r="L43" s="31"/>
      <c r="M43" s="31"/>
      <c r="N43" s="31"/>
      <c r="O43" s="31"/>
      <c r="P43" s="31"/>
      <c r="Q43" s="31"/>
      <c r="S43" s="33"/>
    </row>
    <row r="44" spans="2:18" ht="15">
      <c r="B44" s="9"/>
      <c r="C44" s="1"/>
      <c r="D44" s="1"/>
      <c r="E44" s="1"/>
      <c r="F44" s="2"/>
      <c r="G44" s="2"/>
      <c r="H44" s="16"/>
      <c r="I44" s="1"/>
      <c r="J44" s="1"/>
      <c r="K44" s="1"/>
      <c r="L44" s="1"/>
      <c r="M44" s="1"/>
      <c r="N44" s="1"/>
      <c r="O44" s="1"/>
      <c r="P44" s="1"/>
      <c r="Q44" s="1"/>
      <c r="R44" s="3"/>
    </row>
    <row r="45" spans="2:17" ht="15">
      <c r="B45" s="9"/>
      <c r="C45" s="1"/>
      <c r="D45" s="1"/>
      <c r="E45" s="1"/>
      <c r="F45" s="2"/>
      <c r="G45" s="2"/>
      <c r="H45" s="17"/>
      <c r="I45" s="1"/>
      <c r="J45" s="1"/>
      <c r="K45" s="1"/>
      <c r="L45" s="1"/>
      <c r="M45" s="1"/>
      <c r="N45" s="1"/>
      <c r="O45" s="1"/>
      <c r="P45" s="1"/>
      <c r="Q45" s="1"/>
    </row>
    <row r="46" spans="2:17" ht="15">
      <c r="B46" s="9"/>
      <c r="C46" s="1"/>
      <c r="D46" s="1"/>
      <c r="E46" s="1"/>
      <c r="F46" s="2"/>
      <c r="G46" s="2"/>
      <c r="H46" s="16"/>
      <c r="I46" s="1"/>
      <c r="J46" s="1"/>
      <c r="K46" s="1"/>
      <c r="L46" s="1"/>
      <c r="M46" s="1"/>
      <c r="N46" s="1"/>
      <c r="O46" s="1"/>
      <c r="P46" s="1"/>
      <c r="Q46" s="1"/>
    </row>
    <row r="47" spans="2:17" ht="15">
      <c r="B47" s="9"/>
      <c r="C47" s="1"/>
      <c r="D47" s="1"/>
      <c r="E47" s="1"/>
      <c r="F47" s="2"/>
      <c r="G47" s="2"/>
      <c r="H47" s="16"/>
      <c r="I47" s="1"/>
      <c r="J47" s="1"/>
      <c r="K47" s="1"/>
      <c r="L47" s="1"/>
      <c r="M47" s="1"/>
      <c r="N47" s="1"/>
      <c r="O47" s="1"/>
      <c r="P47" s="1"/>
      <c r="Q47" s="1"/>
    </row>
    <row r="48" spans="2:19" ht="12.75">
      <c r="B48" s="15"/>
      <c r="S48" s="98"/>
    </row>
    <row r="49" spans="2:12" ht="12.75">
      <c r="B49" s="10"/>
      <c r="F49" s="3"/>
      <c r="G49" s="3"/>
      <c r="L49" s="3"/>
    </row>
    <row r="50" ht="12.75">
      <c r="B50" s="10"/>
    </row>
    <row r="51" ht="12.75">
      <c r="B51" s="10"/>
    </row>
    <row r="52" ht="12.75">
      <c r="B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spans="2:19" ht="12.75">
      <c r="B58" s="11"/>
      <c r="C58" s="4"/>
      <c r="D58" s="4"/>
      <c r="E58" s="4"/>
      <c r="F58" s="4"/>
      <c r="G58" s="4"/>
      <c r="H58" s="19"/>
      <c r="I58" s="4"/>
      <c r="J58" s="4"/>
      <c r="K58" s="4"/>
      <c r="L58" s="4"/>
      <c r="M58" s="4"/>
      <c r="N58" s="4"/>
      <c r="O58" s="4"/>
      <c r="P58" s="4"/>
      <c r="Q58" s="4"/>
      <c r="R58" s="4"/>
      <c r="S58" s="14"/>
    </row>
    <row r="59" spans="2:19" ht="12.75">
      <c r="B59" s="11"/>
      <c r="C59" s="4"/>
      <c r="D59" s="4"/>
      <c r="E59" s="4"/>
      <c r="F59" s="4"/>
      <c r="G59" s="4"/>
      <c r="H59" s="19"/>
      <c r="I59" s="4"/>
      <c r="J59" s="4"/>
      <c r="K59" s="4"/>
      <c r="L59" s="4"/>
      <c r="M59" s="4"/>
      <c r="N59" s="4"/>
      <c r="O59" s="4"/>
      <c r="P59" s="4"/>
      <c r="Q59" s="4"/>
      <c r="R59" s="4"/>
      <c r="S59" s="14"/>
    </row>
    <row r="60" spans="2:19" ht="12.75">
      <c r="B60" s="11"/>
      <c r="C60" s="4"/>
      <c r="D60" s="4"/>
      <c r="E60" s="4"/>
      <c r="F60" s="4"/>
      <c r="G60" s="4"/>
      <c r="H60" s="19"/>
      <c r="I60" s="4"/>
      <c r="J60" s="4"/>
      <c r="K60" s="4"/>
      <c r="L60" s="4"/>
      <c r="M60" s="4"/>
      <c r="N60" s="4"/>
      <c r="O60" s="4"/>
      <c r="P60" s="4"/>
      <c r="Q60" s="4"/>
      <c r="R60" s="4"/>
      <c r="S60" s="14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  <row r="131" ht="12.75">
      <c r="B131" s="10"/>
    </row>
    <row r="132" ht="12.75">
      <c r="B132" s="10"/>
    </row>
    <row r="133" ht="12.75">
      <c r="B133" s="10"/>
    </row>
    <row r="134" ht="12.75">
      <c r="B134" s="10"/>
    </row>
    <row r="135" ht="12.75">
      <c r="B135" s="10"/>
    </row>
    <row r="136" ht="12.75">
      <c r="B136" s="10"/>
    </row>
    <row r="137" ht="12.75">
      <c r="B137" s="10"/>
    </row>
    <row r="138" ht="12.75">
      <c r="B138" s="10"/>
    </row>
    <row r="139" ht="12.75">
      <c r="B139" s="10"/>
    </row>
    <row r="140" ht="12.75">
      <c r="B140" s="10"/>
    </row>
    <row r="141" ht="12.75">
      <c r="B141" s="10"/>
    </row>
    <row r="142" ht="12.75">
      <c r="B142" s="10"/>
    </row>
    <row r="143" ht="12.75">
      <c r="B143" s="10"/>
    </row>
    <row r="144" ht="12.75">
      <c r="B144" s="10"/>
    </row>
    <row r="145" ht="12.75">
      <c r="B145" s="10"/>
    </row>
    <row r="146" ht="12.75">
      <c r="B146" s="10"/>
    </row>
    <row r="147" ht="12.75">
      <c r="B147" s="10"/>
    </row>
    <row r="148" ht="12.75">
      <c r="B148" s="10"/>
    </row>
    <row r="149" ht="12.75">
      <c r="B149" s="10"/>
    </row>
    <row r="150" ht="12.75">
      <c r="B150" s="10"/>
    </row>
    <row r="151" ht="12.75">
      <c r="B151" s="10"/>
    </row>
    <row r="152" ht="12.75">
      <c r="B152" s="10"/>
    </row>
    <row r="153" ht="12.75">
      <c r="B153" s="10"/>
    </row>
    <row r="154" ht="12.75">
      <c r="B154" s="10"/>
    </row>
    <row r="155" ht="12.75">
      <c r="B155" s="10"/>
    </row>
    <row r="156" ht="12.75">
      <c r="B156" s="10"/>
    </row>
    <row r="157" ht="12.75">
      <c r="B157" s="10"/>
    </row>
    <row r="158" ht="12.75">
      <c r="B158" s="10"/>
    </row>
    <row r="159" ht="12.75">
      <c r="B159" s="10"/>
    </row>
    <row r="160" ht="12.75">
      <c r="B160" s="10"/>
    </row>
    <row r="161" ht="12.75">
      <c r="B161" s="10"/>
    </row>
    <row r="162" ht="12.75">
      <c r="B162" s="10"/>
    </row>
    <row r="163" ht="12.75">
      <c r="B163" s="10"/>
    </row>
    <row r="164" ht="12.75">
      <c r="B164" s="10"/>
    </row>
    <row r="165" ht="12.75">
      <c r="B165" s="10"/>
    </row>
    <row r="166" ht="12.75">
      <c r="B166" s="10"/>
    </row>
    <row r="167" ht="12.75">
      <c r="B167" s="10"/>
    </row>
    <row r="168" ht="12.75">
      <c r="B168" s="10"/>
    </row>
    <row r="169" ht="12.75">
      <c r="B169" s="10"/>
    </row>
    <row r="170" ht="12.75">
      <c r="B170" s="10"/>
    </row>
    <row r="171" ht="12.75">
      <c r="B171" s="10"/>
    </row>
    <row r="172" ht="12.75">
      <c r="B172" s="10"/>
    </row>
    <row r="173" ht="12.75">
      <c r="B173" s="10"/>
    </row>
    <row r="174" ht="12.75">
      <c r="B174" s="10"/>
    </row>
    <row r="175" ht="12.75">
      <c r="B175" s="10"/>
    </row>
    <row r="176" ht="12.75">
      <c r="B176" s="10"/>
    </row>
    <row r="177" ht="12.75">
      <c r="B177" s="10"/>
    </row>
    <row r="178" ht="12.75">
      <c r="B178" s="10"/>
    </row>
    <row r="179" ht="12.75">
      <c r="B179" s="10"/>
    </row>
    <row r="180" ht="12.75">
      <c r="B180" s="10"/>
    </row>
    <row r="181" ht="12.75">
      <c r="B181" s="10"/>
    </row>
    <row r="182" ht="12.75">
      <c r="B182" s="10"/>
    </row>
    <row r="183" ht="12.75">
      <c r="B183" s="10"/>
    </row>
    <row r="184" ht="12.75">
      <c r="B184" s="10"/>
    </row>
    <row r="185" ht="12.75">
      <c r="B185" s="10"/>
    </row>
    <row r="186" ht="12.75">
      <c r="B186" s="10"/>
    </row>
    <row r="187" ht="12.75">
      <c r="B187" s="10"/>
    </row>
    <row r="188" ht="12.75">
      <c r="B188" s="10"/>
    </row>
    <row r="189" ht="12.75">
      <c r="B189" s="10"/>
    </row>
    <row r="190" ht="12.75">
      <c r="B190" s="10"/>
    </row>
    <row r="191" ht="12.75">
      <c r="B191" s="10"/>
    </row>
    <row r="192" ht="12.75">
      <c r="B192" s="10"/>
    </row>
    <row r="193" ht="12.75">
      <c r="B193" s="10"/>
    </row>
    <row r="194" ht="12.75">
      <c r="B194" s="10"/>
    </row>
    <row r="195" ht="12.75">
      <c r="B195" s="10"/>
    </row>
    <row r="196" ht="12.75">
      <c r="B196" s="10"/>
    </row>
    <row r="197" ht="12.75">
      <c r="B197" s="10"/>
    </row>
    <row r="198" ht="12.75">
      <c r="B198" s="10"/>
    </row>
    <row r="199" ht="12.75">
      <c r="B199" s="10"/>
    </row>
    <row r="200" ht="12.75">
      <c r="B200" s="10"/>
    </row>
    <row r="201" ht="12.75">
      <c r="B201" s="10"/>
    </row>
    <row r="202" ht="12.75">
      <c r="B202" s="10"/>
    </row>
    <row r="203" ht="12.75">
      <c r="B203" s="10"/>
    </row>
    <row r="204" ht="12.75">
      <c r="B204" s="10"/>
    </row>
    <row r="205" ht="12.75">
      <c r="B205" s="10"/>
    </row>
    <row r="206" ht="12.75">
      <c r="B206" s="10"/>
    </row>
    <row r="207" ht="12.75">
      <c r="B207" s="10"/>
    </row>
    <row r="208" ht="12.75">
      <c r="B208" s="10"/>
    </row>
    <row r="209" ht="12.75">
      <c r="B209" s="10"/>
    </row>
    <row r="210" ht="12.75">
      <c r="B210" s="10"/>
    </row>
    <row r="211" ht="12.75">
      <c r="B211" s="10"/>
    </row>
    <row r="212" ht="12.75">
      <c r="B212" s="10"/>
    </row>
    <row r="213" ht="12.75">
      <c r="B213" s="10"/>
    </row>
    <row r="214" ht="12.75">
      <c r="B214" s="10"/>
    </row>
    <row r="215" ht="12.75">
      <c r="B215" s="10"/>
    </row>
    <row r="216" ht="12.75">
      <c r="B216" s="10"/>
    </row>
    <row r="217" ht="12.75">
      <c r="B217" s="10"/>
    </row>
    <row r="218" ht="12.75">
      <c r="B218" s="10"/>
    </row>
    <row r="219" ht="12.75">
      <c r="B219" s="10"/>
    </row>
    <row r="220" ht="12.75">
      <c r="B220" s="10"/>
    </row>
    <row r="221" ht="12.75">
      <c r="B221" s="10"/>
    </row>
    <row r="222" ht="12.75">
      <c r="B222" s="10"/>
    </row>
    <row r="223" ht="12.75">
      <c r="B223" s="10"/>
    </row>
    <row r="224" ht="12.75">
      <c r="B224" s="10"/>
    </row>
    <row r="225" ht="12.75">
      <c r="B225" s="10"/>
    </row>
    <row r="226" ht="12.75">
      <c r="B226" s="10"/>
    </row>
    <row r="227" ht="12.75">
      <c r="B227" s="10"/>
    </row>
    <row r="228" ht="12.75">
      <c r="B228" s="10"/>
    </row>
    <row r="229" ht="12.75">
      <c r="B229" s="10"/>
    </row>
    <row r="230" ht="12.75">
      <c r="B230" s="10"/>
    </row>
    <row r="231" ht="12.75">
      <c r="B231" s="10"/>
    </row>
    <row r="232" ht="12.75">
      <c r="B232" s="10"/>
    </row>
    <row r="233" ht="12.75">
      <c r="B233" s="10"/>
    </row>
    <row r="234" ht="12.75">
      <c r="B234" s="10"/>
    </row>
    <row r="235" ht="12.75">
      <c r="B235" s="10"/>
    </row>
    <row r="236" ht="12.75">
      <c r="B236" s="10"/>
    </row>
    <row r="237" ht="12.75">
      <c r="B237" s="10"/>
    </row>
    <row r="238" ht="12.75">
      <c r="B238" s="10"/>
    </row>
    <row r="239" ht="12.75">
      <c r="B239" s="10"/>
    </row>
    <row r="240" ht="12.75">
      <c r="B240" s="10"/>
    </row>
    <row r="241" ht="12.75">
      <c r="B241" s="10"/>
    </row>
    <row r="242" ht="12.75">
      <c r="B242" s="10"/>
    </row>
    <row r="243" ht="12.75">
      <c r="B243" s="10"/>
    </row>
    <row r="244" ht="12.75">
      <c r="B244" s="10"/>
    </row>
    <row r="245" ht="12.75">
      <c r="B245" s="10"/>
    </row>
    <row r="246" ht="12.75">
      <c r="B246" s="10"/>
    </row>
    <row r="247" ht="12.75">
      <c r="B247" s="10"/>
    </row>
    <row r="248" ht="12.75">
      <c r="B248" s="10"/>
    </row>
    <row r="249" ht="12.75">
      <c r="B249" s="10"/>
    </row>
    <row r="250" ht="12.75">
      <c r="B250" s="10"/>
    </row>
    <row r="251" ht="12.75">
      <c r="B251" s="10"/>
    </row>
    <row r="252" ht="12.75">
      <c r="B252" s="10"/>
    </row>
    <row r="253" ht="12.75">
      <c r="B253" s="10"/>
    </row>
    <row r="254" ht="12.75">
      <c r="B254" s="10"/>
    </row>
    <row r="255" ht="12.75">
      <c r="B255" s="10"/>
    </row>
    <row r="256" ht="12.75">
      <c r="B256" s="10"/>
    </row>
    <row r="257" ht="12.75">
      <c r="B257" s="10"/>
    </row>
    <row r="258" ht="12.75">
      <c r="B258" s="10"/>
    </row>
    <row r="259" ht="12.75">
      <c r="B259" s="10"/>
    </row>
    <row r="260" ht="12.75">
      <c r="B260" s="10"/>
    </row>
    <row r="261" ht="12.75">
      <c r="B261" s="10"/>
    </row>
    <row r="262" ht="12.75">
      <c r="B262" s="10"/>
    </row>
    <row r="263" ht="12.75">
      <c r="B263" s="10"/>
    </row>
    <row r="264" ht="12.75">
      <c r="B264" s="10"/>
    </row>
    <row r="265" ht="12.75">
      <c r="B265" s="10"/>
    </row>
    <row r="266" ht="12.75">
      <c r="B266" s="10"/>
    </row>
    <row r="267" ht="12.75">
      <c r="B267" s="10"/>
    </row>
    <row r="268" ht="12.75">
      <c r="B268" s="10"/>
    </row>
    <row r="269" ht="12.75">
      <c r="B269" s="10"/>
    </row>
    <row r="270" ht="12.75">
      <c r="B270" s="10"/>
    </row>
    <row r="271" ht="12.75">
      <c r="B271" s="10"/>
    </row>
    <row r="272" ht="12.75">
      <c r="B272" s="10"/>
    </row>
  </sheetData>
  <printOptions/>
  <pageMargins left="0.75" right="0.75" top="1" bottom="1" header="0.5" footer="0.5"/>
  <pageSetup horizontalDpi="300" verticalDpi="300" orientation="landscape" paperSize="9" scale="3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H44"/>
  <sheetViews>
    <sheetView workbookViewId="0" topLeftCell="A1">
      <selection activeCell="C30" sqref="C30"/>
    </sheetView>
  </sheetViews>
  <sheetFormatPr defaultColWidth="9.140625" defaultRowHeight="12.75"/>
  <cols>
    <col min="2" max="2" width="27.57421875" style="0" customWidth="1"/>
    <col min="3" max="3" width="12.00390625" style="0" customWidth="1"/>
    <col min="8" max="8" width="12.7109375" style="0" customWidth="1"/>
  </cols>
  <sheetData>
    <row r="3" spans="1:8" ht="15">
      <c r="A3" s="100" t="s">
        <v>122</v>
      </c>
      <c r="B3" s="100"/>
      <c r="C3" s="100"/>
      <c r="D3" s="100"/>
      <c r="E3" s="100"/>
      <c r="F3" s="100"/>
      <c r="G3" s="100"/>
      <c r="H3" s="100"/>
    </row>
    <row r="4" spans="1:8" ht="14.25">
      <c r="A4" s="37"/>
      <c r="B4" s="37"/>
      <c r="C4" s="39"/>
      <c r="D4" s="1"/>
      <c r="E4" s="1"/>
      <c r="F4" s="1"/>
      <c r="G4" s="37"/>
      <c r="H4" s="37"/>
    </row>
    <row r="5" spans="1:8" ht="45">
      <c r="A5" s="49" t="s">
        <v>0</v>
      </c>
      <c r="B5" s="49" t="s">
        <v>1</v>
      </c>
      <c r="C5" s="51" t="s">
        <v>51</v>
      </c>
      <c r="D5" s="48"/>
      <c r="E5" s="1"/>
      <c r="F5" s="1"/>
      <c r="G5" s="37"/>
      <c r="H5" s="37"/>
    </row>
    <row r="6" spans="1:8" ht="15">
      <c r="A6" s="40" t="s">
        <v>79</v>
      </c>
      <c r="B6" s="7" t="s">
        <v>6</v>
      </c>
      <c r="C6" s="8"/>
      <c r="D6" s="12"/>
      <c r="E6" s="1"/>
      <c r="F6" s="1"/>
      <c r="G6" s="37"/>
      <c r="H6" s="37"/>
    </row>
    <row r="7" spans="1:8" ht="15">
      <c r="A7" s="40" t="s">
        <v>52</v>
      </c>
      <c r="B7" s="7" t="s">
        <v>39</v>
      </c>
      <c r="C7" s="47"/>
      <c r="D7" s="12"/>
      <c r="E7" s="1"/>
      <c r="F7" s="1"/>
      <c r="G7" s="37"/>
      <c r="H7" s="37"/>
    </row>
    <row r="8" spans="1:8" ht="15">
      <c r="A8" s="40" t="s">
        <v>53</v>
      </c>
      <c r="B8" s="7" t="s">
        <v>8</v>
      </c>
      <c r="C8" s="47"/>
      <c r="D8" s="12"/>
      <c r="E8" s="1"/>
      <c r="F8" s="1"/>
      <c r="G8" s="37"/>
      <c r="H8" s="37"/>
    </row>
    <row r="9" spans="1:8" ht="15">
      <c r="A9" s="40" t="s">
        <v>54</v>
      </c>
      <c r="B9" s="7" t="s">
        <v>9</v>
      </c>
      <c r="C9" s="47"/>
      <c r="D9" s="12"/>
      <c r="E9" s="1"/>
      <c r="F9" s="1"/>
      <c r="G9" s="37"/>
      <c r="H9" s="37"/>
    </row>
    <row r="10" spans="1:8" ht="15">
      <c r="A10" s="40" t="s">
        <v>55</v>
      </c>
      <c r="B10" s="7" t="s">
        <v>10</v>
      </c>
      <c r="C10" s="47"/>
      <c r="D10" s="12"/>
      <c r="E10" s="1"/>
      <c r="F10" s="1"/>
      <c r="G10" s="37"/>
      <c r="H10" s="37"/>
    </row>
    <row r="11" spans="1:8" ht="15">
      <c r="A11" s="40" t="s">
        <v>56</v>
      </c>
      <c r="B11" s="7" t="s">
        <v>11</v>
      </c>
      <c r="C11" s="47"/>
      <c r="D11" s="12"/>
      <c r="E11" s="1"/>
      <c r="F11" s="1"/>
      <c r="G11" s="37"/>
      <c r="H11" s="37"/>
    </row>
    <row r="12" spans="1:8" ht="15">
      <c r="A12" s="40" t="s">
        <v>57</v>
      </c>
      <c r="B12" s="7" t="s">
        <v>12</v>
      </c>
      <c r="C12" s="47"/>
      <c r="D12" s="12"/>
      <c r="E12" s="1"/>
      <c r="F12" s="1"/>
      <c r="G12" s="37"/>
      <c r="H12" s="37"/>
    </row>
    <row r="13" spans="1:8" ht="15">
      <c r="A13" s="40" t="s">
        <v>58</v>
      </c>
      <c r="B13" s="7" t="s">
        <v>13</v>
      </c>
      <c r="C13" s="47"/>
      <c r="D13" s="12"/>
      <c r="E13" s="1"/>
      <c r="F13" s="1"/>
      <c r="G13" s="37"/>
      <c r="H13" s="37"/>
    </row>
    <row r="14" spans="1:8" ht="15">
      <c r="A14" s="40" t="s">
        <v>59</v>
      </c>
      <c r="B14" s="7" t="s">
        <v>112</v>
      </c>
      <c r="C14" s="47"/>
      <c r="D14" s="12"/>
      <c r="E14" s="1"/>
      <c r="F14" s="1"/>
      <c r="G14" s="37"/>
      <c r="H14" s="37"/>
    </row>
    <row r="15" spans="1:8" ht="15">
      <c r="A15" s="40" t="s">
        <v>60</v>
      </c>
      <c r="B15" s="7" t="s">
        <v>14</v>
      </c>
      <c r="C15" s="8"/>
      <c r="D15" s="12"/>
      <c r="E15" s="1"/>
      <c r="F15" s="1"/>
      <c r="G15" s="37"/>
      <c r="H15" s="37"/>
    </row>
    <row r="16" spans="1:8" ht="15">
      <c r="A16" s="40" t="s">
        <v>61</v>
      </c>
      <c r="B16" s="7" t="s">
        <v>15</v>
      </c>
      <c r="C16" s="47"/>
      <c r="D16" s="12"/>
      <c r="E16" s="1"/>
      <c r="F16" s="1"/>
      <c r="G16" s="37"/>
      <c r="H16" s="37"/>
    </row>
    <row r="17" spans="1:8" ht="15">
      <c r="A17" s="40" t="s">
        <v>62</v>
      </c>
      <c r="B17" s="7" t="s">
        <v>40</v>
      </c>
      <c r="C17" s="47"/>
      <c r="D17" s="12"/>
      <c r="E17" s="1"/>
      <c r="F17" s="1"/>
      <c r="G17" s="37"/>
      <c r="H17" s="37"/>
    </row>
    <row r="18" spans="1:8" ht="15">
      <c r="A18" s="40" t="s">
        <v>63</v>
      </c>
      <c r="B18" s="7" t="s">
        <v>17</v>
      </c>
      <c r="C18" s="47"/>
      <c r="D18" s="12"/>
      <c r="E18" s="1"/>
      <c r="F18" s="1"/>
      <c r="G18" s="37"/>
      <c r="H18" s="37"/>
    </row>
    <row r="19" spans="1:8" ht="15">
      <c r="A19" s="40" t="s">
        <v>64</v>
      </c>
      <c r="B19" s="7" t="s">
        <v>18</v>
      </c>
      <c r="C19" s="47"/>
      <c r="D19" s="12"/>
      <c r="E19" s="1"/>
      <c r="F19" s="1"/>
      <c r="G19" s="37"/>
      <c r="H19" s="37"/>
    </row>
    <row r="20" spans="1:8" ht="15">
      <c r="A20" s="40" t="s">
        <v>65</v>
      </c>
      <c r="B20" s="7" t="s">
        <v>19</v>
      </c>
      <c r="C20" s="8"/>
      <c r="D20" s="12"/>
      <c r="E20" s="1"/>
      <c r="F20" s="1"/>
      <c r="G20" s="37"/>
      <c r="H20" s="37"/>
    </row>
    <row r="21" spans="1:8" ht="15">
      <c r="A21" s="40" t="s">
        <v>66</v>
      </c>
      <c r="B21" s="7" t="s">
        <v>20</v>
      </c>
      <c r="C21" s="47"/>
      <c r="D21" s="12"/>
      <c r="E21" s="1"/>
      <c r="F21" s="1"/>
      <c r="G21" s="37"/>
      <c r="H21" s="37"/>
    </row>
    <row r="22" spans="1:8" ht="15">
      <c r="A22" s="40" t="s">
        <v>67</v>
      </c>
      <c r="B22" s="7" t="s">
        <v>21</v>
      </c>
      <c r="C22" s="47"/>
      <c r="D22" s="12"/>
      <c r="E22" s="1"/>
      <c r="F22" s="1"/>
      <c r="G22" s="37"/>
      <c r="H22" s="37"/>
    </row>
    <row r="23" spans="1:8" ht="15">
      <c r="A23" s="40" t="s">
        <v>68</v>
      </c>
      <c r="B23" s="7" t="s">
        <v>22</v>
      </c>
      <c r="C23" s="47"/>
      <c r="D23" s="12"/>
      <c r="E23" s="1"/>
      <c r="F23" s="1"/>
      <c r="G23" s="37"/>
      <c r="H23" s="37"/>
    </row>
    <row r="24" spans="1:8" ht="15">
      <c r="A24" s="40" t="s">
        <v>69</v>
      </c>
      <c r="B24" s="7" t="s">
        <v>23</v>
      </c>
      <c r="C24" s="47"/>
      <c r="D24" s="12"/>
      <c r="E24" s="1"/>
      <c r="F24" s="1"/>
      <c r="G24" s="37"/>
      <c r="H24" s="37"/>
    </row>
    <row r="25" spans="1:8" ht="15">
      <c r="A25" s="40" t="s">
        <v>70</v>
      </c>
      <c r="B25" s="7" t="s">
        <v>24</v>
      </c>
      <c r="C25" s="47"/>
      <c r="D25" s="12"/>
      <c r="E25" s="1"/>
      <c r="F25" s="1"/>
      <c r="G25" s="37"/>
      <c r="H25" s="37"/>
    </row>
    <row r="26" spans="1:8" ht="15">
      <c r="A26" s="40" t="s">
        <v>71</v>
      </c>
      <c r="B26" s="7" t="s">
        <v>25</v>
      </c>
      <c r="C26" s="47"/>
      <c r="D26" s="12"/>
      <c r="E26" s="1"/>
      <c r="F26" s="1"/>
      <c r="G26" s="37"/>
      <c r="H26" s="37"/>
    </row>
    <row r="27" spans="1:8" ht="15">
      <c r="A27" s="40" t="s">
        <v>72</v>
      </c>
      <c r="B27" s="7" t="s">
        <v>26</v>
      </c>
      <c r="C27" s="47"/>
      <c r="D27" s="12"/>
      <c r="E27" s="1"/>
      <c r="F27" s="1"/>
      <c r="G27" s="37"/>
      <c r="H27" s="37"/>
    </row>
    <row r="28" spans="1:8" ht="15">
      <c r="A28" s="40" t="s">
        <v>73</v>
      </c>
      <c r="B28" s="7" t="s">
        <v>27</v>
      </c>
      <c r="C28" s="47"/>
      <c r="D28" s="12"/>
      <c r="E28" s="1"/>
      <c r="F28" s="1"/>
      <c r="G28" s="37"/>
      <c r="H28" s="37"/>
    </row>
    <row r="29" spans="1:8" ht="15">
      <c r="A29" s="40" t="s">
        <v>74</v>
      </c>
      <c r="B29" s="7" t="s">
        <v>28</v>
      </c>
      <c r="C29" s="8">
        <v>439.42</v>
      </c>
      <c r="D29" s="12"/>
      <c r="E29" s="1"/>
      <c r="F29" s="1"/>
      <c r="G29" s="37"/>
      <c r="H29" s="37"/>
    </row>
    <row r="30" spans="1:8" ht="15">
      <c r="A30" s="40" t="s">
        <v>75</v>
      </c>
      <c r="B30" s="7" t="s">
        <v>29</v>
      </c>
      <c r="C30" s="47"/>
      <c r="D30" s="12"/>
      <c r="E30" s="1"/>
      <c r="F30" s="1"/>
      <c r="G30" s="37"/>
      <c r="H30" s="37"/>
    </row>
    <row r="31" spans="1:8" ht="15">
      <c r="A31" s="40" t="s">
        <v>76</v>
      </c>
      <c r="B31" s="7" t="s">
        <v>30</v>
      </c>
      <c r="C31" s="47"/>
      <c r="D31" s="12"/>
      <c r="E31" s="1"/>
      <c r="F31" s="1"/>
      <c r="G31" s="37"/>
      <c r="H31" s="37"/>
    </row>
    <row r="32" spans="1:8" ht="15">
      <c r="A32" s="40" t="s">
        <v>77</v>
      </c>
      <c r="B32" s="7" t="s">
        <v>31</v>
      </c>
      <c r="C32" s="47"/>
      <c r="D32" s="12"/>
      <c r="E32" s="1"/>
      <c r="F32" s="1"/>
      <c r="G32" s="37"/>
      <c r="H32" s="37"/>
    </row>
    <row r="33" spans="1:8" ht="15">
      <c r="A33" s="40" t="s">
        <v>78</v>
      </c>
      <c r="B33" s="7" t="s">
        <v>32</v>
      </c>
      <c r="C33" s="47"/>
      <c r="D33" s="12"/>
      <c r="E33" s="1"/>
      <c r="F33" s="1"/>
      <c r="G33" s="37"/>
      <c r="H33" s="37"/>
    </row>
    <row r="34" spans="1:8" ht="15">
      <c r="A34" s="40" t="s">
        <v>80</v>
      </c>
      <c r="B34" s="7" t="s">
        <v>33</v>
      </c>
      <c r="C34" s="47"/>
      <c r="D34" s="12"/>
      <c r="E34" s="1"/>
      <c r="F34" s="1"/>
      <c r="G34" s="37"/>
      <c r="H34" s="37"/>
    </row>
    <row r="35" spans="1:8" ht="15">
      <c r="A35" s="40" t="s">
        <v>81</v>
      </c>
      <c r="B35" s="7" t="s">
        <v>34</v>
      </c>
      <c r="C35" s="47"/>
      <c r="D35" s="12"/>
      <c r="E35" s="1"/>
      <c r="F35" s="1"/>
      <c r="G35" s="37"/>
      <c r="H35" s="37"/>
    </row>
    <row r="36" spans="1:8" ht="15">
      <c r="A36" s="40" t="s">
        <v>82</v>
      </c>
      <c r="B36" s="7" t="s">
        <v>88</v>
      </c>
      <c r="C36" s="47"/>
      <c r="D36" s="12"/>
      <c r="E36" s="1"/>
      <c r="F36" s="1"/>
      <c r="G36" s="37"/>
      <c r="H36" s="37"/>
    </row>
    <row r="37" spans="1:8" ht="15">
      <c r="A37" s="40" t="s">
        <v>83</v>
      </c>
      <c r="B37" s="7" t="s">
        <v>89</v>
      </c>
      <c r="C37" s="47"/>
      <c r="D37" s="12"/>
      <c r="E37" s="1"/>
      <c r="F37" s="1"/>
      <c r="G37" s="37"/>
      <c r="H37" s="37"/>
    </row>
    <row r="38" spans="1:8" ht="15">
      <c r="A38" s="40" t="s">
        <v>84</v>
      </c>
      <c r="B38" s="7" t="s">
        <v>90</v>
      </c>
      <c r="C38" s="47"/>
      <c r="D38" s="12"/>
      <c r="E38" s="1"/>
      <c r="F38" s="1"/>
      <c r="G38" s="37"/>
      <c r="H38" s="37"/>
    </row>
    <row r="39" spans="1:8" ht="15">
      <c r="A39" s="40" t="s">
        <v>85</v>
      </c>
      <c r="B39" s="7" t="s">
        <v>93</v>
      </c>
      <c r="C39" s="47"/>
      <c r="D39" s="12"/>
      <c r="E39" s="1"/>
      <c r="F39" s="1"/>
      <c r="G39" s="37"/>
      <c r="H39" s="37"/>
    </row>
    <row r="40" spans="1:8" ht="15">
      <c r="A40" s="40" t="s">
        <v>86</v>
      </c>
      <c r="B40" s="7" t="s">
        <v>94</v>
      </c>
      <c r="C40" s="47"/>
      <c r="D40" s="12"/>
      <c r="E40" s="1"/>
      <c r="F40" s="1"/>
      <c r="G40" s="37"/>
      <c r="H40" s="37"/>
    </row>
    <row r="41" spans="1:8" ht="15.75" thickBot="1">
      <c r="A41" s="40" t="s">
        <v>91</v>
      </c>
      <c r="B41" s="7" t="s">
        <v>98</v>
      </c>
      <c r="C41" s="72"/>
      <c r="D41" s="12"/>
      <c r="E41" s="1"/>
      <c r="F41" s="1"/>
      <c r="G41" s="37"/>
      <c r="H41" s="37"/>
    </row>
    <row r="42" spans="1:8" ht="15.75" thickBot="1">
      <c r="A42" s="54"/>
      <c r="B42" s="55" t="s">
        <v>35</v>
      </c>
      <c r="C42" s="56">
        <f>SUM(C6:C41)</f>
        <v>439.42</v>
      </c>
      <c r="D42" s="45"/>
      <c r="E42" s="1"/>
      <c r="F42" s="1"/>
      <c r="G42" s="37"/>
      <c r="H42" s="37"/>
    </row>
    <row r="43" spans="1:8" ht="14.25">
      <c r="A43" s="37"/>
      <c r="B43" s="37"/>
      <c r="C43" s="39"/>
      <c r="D43" s="1"/>
      <c r="E43" s="1"/>
      <c r="F43" s="1"/>
      <c r="G43" s="37"/>
      <c r="H43" s="37"/>
    </row>
    <row r="44" spans="1:8" ht="14.25">
      <c r="A44" s="37"/>
      <c r="B44" s="37"/>
      <c r="C44" s="39"/>
      <c r="D44" s="1"/>
      <c r="E44" s="1"/>
      <c r="F44" s="1"/>
      <c r="G44" s="37"/>
      <c r="H44" s="37"/>
    </row>
  </sheetData>
  <mergeCells count="1">
    <mergeCell ref="A3:H3"/>
  </mergeCells>
  <printOptions/>
  <pageMargins left="0.75" right="0.75" top="1" bottom="1" header="0.5" footer="0.5"/>
  <pageSetup horizontalDpi="300" verticalDpi="300" orientation="portrait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I46"/>
  <sheetViews>
    <sheetView view="pageBreakPreview" zoomScale="60" workbookViewId="0" topLeftCell="A3">
      <selection activeCell="C12" sqref="C12"/>
    </sheetView>
  </sheetViews>
  <sheetFormatPr defaultColWidth="9.140625" defaultRowHeight="12.75"/>
  <cols>
    <col min="2" max="2" width="29.140625" style="0" customWidth="1"/>
    <col min="3" max="3" width="15.140625" style="0" customWidth="1"/>
  </cols>
  <sheetData>
    <row r="3" spans="1:9" ht="15">
      <c r="A3" s="90" t="s">
        <v>123</v>
      </c>
      <c r="B3" s="90"/>
      <c r="C3" s="90"/>
      <c r="D3" s="90"/>
      <c r="E3" s="90"/>
      <c r="F3" s="90"/>
      <c r="G3" s="90"/>
      <c r="H3" s="90"/>
      <c r="I3" s="90"/>
    </row>
    <row r="4" spans="1:9" ht="14.25">
      <c r="A4" s="37"/>
      <c r="B4" s="37"/>
      <c r="C4" s="39"/>
      <c r="D4" s="1"/>
      <c r="E4" s="1"/>
      <c r="F4" s="1"/>
      <c r="G4" s="1"/>
      <c r="H4" s="37"/>
      <c r="I4" s="37"/>
    </row>
    <row r="5" spans="1:9" ht="60">
      <c r="A5" s="49" t="s">
        <v>0</v>
      </c>
      <c r="B5" s="49" t="s">
        <v>1</v>
      </c>
      <c r="C5" s="51" t="s">
        <v>111</v>
      </c>
      <c r="D5" s="45"/>
      <c r="E5" s="12"/>
      <c r="F5" s="1"/>
      <c r="G5" s="1"/>
      <c r="H5" s="37"/>
      <c r="I5" s="37"/>
    </row>
    <row r="6" spans="1:9" ht="15">
      <c r="A6" s="40" t="s">
        <v>79</v>
      </c>
      <c r="B6" s="7" t="s">
        <v>6</v>
      </c>
      <c r="C6" s="8"/>
      <c r="D6" s="46"/>
      <c r="E6" s="12"/>
      <c r="F6" s="1"/>
      <c r="G6" s="1"/>
      <c r="H6" s="37"/>
      <c r="I6" s="37"/>
    </row>
    <row r="7" spans="1:9" ht="15">
      <c r="A7" s="40" t="s">
        <v>52</v>
      </c>
      <c r="B7" s="7" t="s">
        <v>39</v>
      </c>
      <c r="C7" s="8">
        <v>326.78</v>
      </c>
      <c r="D7" s="46"/>
      <c r="E7" s="12"/>
      <c r="F7" s="1"/>
      <c r="G7" s="1"/>
      <c r="H7" s="37"/>
      <c r="I7" s="37"/>
    </row>
    <row r="8" spans="1:9" ht="15">
      <c r="A8" s="40" t="s">
        <v>53</v>
      </c>
      <c r="B8" s="7" t="s">
        <v>8</v>
      </c>
      <c r="C8" s="8">
        <v>653.56</v>
      </c>
      <c r="D8" s="46"/>
      <c r="E8" s="12"/>
      <c r="F8" s="1"/>
      <c r="G8" s="1"/>
      <c r="H8" s="37"/>
      <c r="I8" s="37"/>
    </row>
    <row r="9" spans="1:9" ht="15">
      <c r="A9" s="40" t="s">
        <v>54</v>
      </c>
      <c r="B9" s="7" t="s">
        <v>9</v>
      </c>
      <c r="C9" s="8"/>
      <c r="D9" s="46"/>
      <c r="E9" s="12"/>
      <c r="F9" s="1"/>
      <c r="G9" s="1"/>
      <c r="H9" s="37"/>
      <c r="I9" s="37"/>
    </row>
    <row r="10" spans="1:9" ht="15">
      <c r="A10" s="40" t="s">
        <v>55</v>
      </c>
      <c r="B10" s="7" t="s">
        <v>10</v>
      </c>
      <c r="C10" s="8"/>
      <c r="D10" s="46"/>
      <c r="E10" s="12"/>
      <c r="F10" s="1"/>
      <c r="G10" s="1"/>
      <c r="H10" s="37"/>
      <c r="I10" s="37"/>
    </row>
    <row r="11" spans="1:9" ht="15">
      <c r="A11" s="40" t="s">
        <v>56</v>
      </c>
      <c r="B11" s="7" t="s">
        <v>11</v>
      </c>
      <c r="C11" s="8">
        <v>653.56</v>
      </c>
      <c r="D11" s="46"/>
      <c r="E11" s="12"/>
      <c r="F11" s="1"/>
      <c r="G11" s="1"/>
      <c r="H11" s="37"/>
      <c r="I11" s="37"/>
    </row>
    <row r="12" spans="1:9" ht="15">
      <c r="A12" s="40" t="s">
        <v>57</v>
      </c>
      <c r="B12" s="7" t="s">
        <v>12</v>
      </c>
      <c r="C12" s="8"/>
      <c r="D12" s="46"/>
      <c r="E12" s="12"/>
      <c r="F12" s="1"/>
      <c r="G12" s="1"/>
      <c r="H12" s="37"/>
      <c r="I12" s="37"/>
    </row>
    <row r="13" spans="1:9" ht="15">
      <c r="A13" s="40" t="s">
        <v>58</v>
      </c>
      <c r="B13" s="7" t="s">
        <v>13</v>
      </c>
      <c r="C13" s="8">
        <v>653.56</v>
      </c>
      <c r="D13" s="46"/>
      <c r="E13" s="12"/>
      <c r="F13" s="1"/>
      <c r="G13" s="1"/>
      <c r="H13" s="37"/>
      <c r="I13" s="37"/>
    </row>
    <row r="14" spans="1:9" ht="15">
      <c r="A14" s="40" t="s">
        <v>59</v>
      </c>
      <c r="B14" s="7" t="s">
        <v>112</v>
      </c>
      <c r="C14" s="8">
        <v>980.34</v>
      </c>
      <c r="D14" s="46"/>
      <c r="E14" s="12"/>
      <c r="F14" s="1"/>
      <c r="G14" s="1"/>
      <c r="H14" s="37"/>
      <c r="I14" s="37"/>
    </row>
    <row r="15" spans="1:9" ht="15">
      <c r="A15" s="40" t="s">
        <v>60</v>
      </c>
      <c r="B15" s="7" t="s">
        <v>14</v>
      </c>
      <c r="C15" s="8">
        <v>163.39</v>
      </c>
      <c r="D15" s="46"/>
      <c r="E15" s="12"/>
      <c r="F15" s="1"/>
      <c r="G15" s="1"/>
      <c r="H15" s="37"/>
      <c r="I15" s="37"/>
    </row>
    <row r="16" spans="1:9" ht="15">
      <c r="A16" s="40" t="s">
        <v>61</v>
      </c>
      <c r="B16" s="7" t="s">
        <v>15</v>
      </c>
      <c r="C16" s="8">
        <v>653.56</v>
      </c>
      <c r="D16" s="46"/>
      <c r="E16" s="12"/>
      <c r="F16" s="1"/>
      <c r="G16" s="1"/>
      <c r="H16" s="37"/>
      <c r="I16" s="37"/>
    </row>
    <row r="17" spans="1:9" ht="15">
      <c r="A17" s="40" t="s">
        <v>62</v>
      </c>
      <c r="B17" s="7" t="s">
        <v>40</v>
      </c>
      <c r="C17" s="8">
        <v>1633.9</v>
      </c>
      <c r="D17" s="46"/>
      <c r="E17" s="12"/>
      <c r="F17" s="1"/>
      <c r="G17" s="1"/>
      <c r="H17" s="37"/>
      <c r="I17" s="37"/>
    </row>
    <row r="18" spans="1:9" ht="15">
      <c r="A18" s="40" t="s">
        <v>63</v>
      </c>
      <c r="B18" s="7" t="s">
        <v>17</v>
      </c>
      <c r="C18" s="8">
        <v>326.78</v>
      </c>
      <c r="D18" s="46"/>
      <c r="E18" s="12"/>
      <c r="F18" s="1"/>
      <c r="G18" s="1"/>
      <c r="H18" s="37"/>
      <c r="I18" s="37"/>
    </row>
    <row r="19" spans="1:9" ht="15">
      <c r="A19" s="40" t="s">
        <v>64</v>
      </c>
      <c r="B19" s="7" t="s">
        <v>18</v>
      </c>
      <c r="C19" s="8">
        <v>653.56</v>
      </c>
      <c r="D19" s="46"/>
      <c r="E19" s="12"/>
      <c r="F19" s="1"/>
      <c r="G19" s="1"/>
      <c r="H19" s="37"/>
      <c r="I19" s="37"/>
    </row>
    <row r="20" spans="1:9" ht="15">
      <c r="A20" s="40" t="s">
        <v>65</v>
      </c>
      <c r="B20" s="7" t="s">
        <v>19</v>
      </c>
      <c r="C20" s="8">
        <v>326.78</v>
      </c>
      <c r="D20" s="46"/>
      <c r="E20" s="12"/>
      <c r="F20" s="1"/>
      <c r="G20" s="1"/>
      <c r="H20" s="37"/>
      <c r="I20" s="37"/>
    </row>
    <row r="21" spans="1:9" ht="15">
      <c r="A21" s="40" t="s">
        <v>66</v>
      </c>
      <c r="B21" s="7" t="s">
        <v>20</v>
      </c>
      <c r="C21" s="8"/>
      <c r="D21" s="46"/>
      <c r="E21" s="12"/>
      <c r="F21" s="1"/>
      <c r="G21" s="1"/>
      <c r="H21" s="37"/>
      <c r="I21" s="37"/>
    </row>
    <row r="22" spans="1:9" ht="15">
      <c r="A22" s="40" t="s">
        <v>67</v>
      </c>
      <c r="B22" s="7" t="s">
        <v>21</v>
      </c>
      <c r="C22" s="8"/>
      <c r="D22" s="46"/>
      <c r="E22" s="12"/>
      <c r="F22" s="1"/>
      <c r="G22" s="1"/>
      <c r="H22" s="37"/>
      <c r="I22" s="37"/>
    </row>
    <row r="23" spans="1:9" ht="15">
      <c r="A23" s="40" t="s">
        <v>68</v>
      </c>
      <c r="B23" s="7" t="s">
        <v>22</v>
      </c>
      <c r="C23" s="8"/>
      <c r="D23" s="46"/>
      <c r="E23" s="12"/>
      <c r="F23" s="1"/>
      <c r="G23" s="1"/>
      <c r="H23" s="37"/>
      <c r="I23" s="37"/>
    </row>
    <row r="24" spans="1:9" ht="15">
      <c r="A24" s="40" t="s">
        <v>69</v>
      </c>
      <c r="B24" s="7" t="s">
        <v>23</v>
      </c>
      <c r="C24" s="8"/>
      <c r="D24" s="46"/>
      <c r="E24" s="12"/>
      <c r="F24" s="1"/>
      <c r="G24" s="1"/>
      <c r="H24" s="37"/>
      <c r="I24" s="37"/>
    </row>
    <row r="25" spans="1:9" ht="15">
      <c r="A25" s="40" t="s">
        <v>70</v>
      </c>
      <c r="B25" s="7" t="s">
        <v>24</v>
      </c>
      <c r="C25" s="8">
        <v>980.34</v>
      </c>
      <c r="D25" s="46"/>
      <c r="E25" s="12"/>
      <c r="F25" s="1"/>
      <c r="G25" s="1"/>
      <c r="H25" s="37"/>
      <c r="I25" s="37"/>
    </row>
    <row r="26" spans="1:9" ht="15">
      <c r="A26" s="40" t="s">
        <v>71</v>
      </c>
      <c r="B26" s="7" t="s">
        <v>25</v>
      </c>
      <c r="C26" s="8">
        <v>326.78</v>
      </c>
      <c r="D26" s="46"/>
      <c r="E26" s="12"/>
      <c r="F26" s="1"/>
      <c r="G26" s="1"/>
      <c r="H26" s="37"/>
      <c r="I26" s="37"/>
    </row>
    <row r="27" spans="1:9" ht="15">
      <c r="A27" s="40" t="s">
        <v>72</v>
      </c>
      <c r="B27" s="7" t="s">
        <v>26</v>
      </c>
      <c r="C27" s="8"/>
      <c r="D27" s="46"/>
      <c r="E27" s="12"/>
      <c r="F27" s="1"/>
      <c r="G27" s="1"/>
      <c r="H27" s="37"/>
      <c r="I27" s="37"/>
    </row>
    <row r="28" spans="1:9" ht="15">
      <c r="A28" s="40" t="s">
        <v>73</v>
      </c>
      <c r="B28" s="7" t="s">
        <v>27</v>
      </c>
      <c r="C28" s="8"/>
      <c r="D28" s="46"/>
      <c r="E28" s="12"/>
      <c r="F28" s="1"/>
      <c r="G28" s="1"/>
      <c r="H28" s="37"/>
      <c r="I28" s="37"/>
    </row>
    <row r="29" spans="1:9" ht="15">
      <c r="A29" s="40" t="s">
        <v>74</v>
      </c>
      <c r="B29" s="7" t="s">
        <v>28</v>
      </c>
      <c r="C29" s="8">
        <v>1633.85</v>
      </c>
      <c r="D29" s="46"/>
      <c r="E29" s="12"/>
      <c r="F29" s="1"/>
      <c r="G29" s="1"/>
      <c r="H29" s="37"/>
      <c r="I29" s="37"/>
    </row>
    <row r="30" spans="1:9" ht="15">
      <c r="A30" s="40" t="s">
        <v>75</v>
      </c>
      <c r="B30" s="7" t="s">
        <v>29</v>
      </c>
      <c r="C30" s="8"/>
      <c r="D30" s="46"/>
      <c r="E30" s="12"/>
      <c r="F30" s="1"/>
      <c r="G30" s="1"/>
      <c r="H30" s="37"/>
      <c r="I30" s="37"/>
    </row>
    <row r="31" spans="1:9" ht="15">
      <c r="A31" s="40" t="s">
        <v>76</v>
      </c>
      <c r="B31" s="7" t="s">
        <v>30</v>
      </c>
      <c r="C31" s="8"/>
      <c r="D31" s="46"/>
      <c r="E31" s="12"/>
      <c r="F31" s="1"/>
      <c r="G31" s="1"/>
      <c r="H31" s="37"/>
      <c r="I31" s="37"/>
    </row>
    <row r="32" spans="1:9" ht="15">
      <c r="A32" s="40" t="s">
        <v>77</v>
      </c>
      <c r="B32" s="7" t="s">
        <v>31</v>
      </c>
      <c r="C32" s="8"/>
      <c r="D32" s="46"/>
      <c r="E32" s="12"/>
      <c r="F32" s="1"/>
      <c r="G32" s="1"/>
      <c r="H32" s="37"/>
      <c r="I32" s="37"/>
    </row>
    <row r="33" spans="1:9" ht="15">
      <c r="A33" s="40" t="s">
        <v>78</v>
      </c>
      <c r="B33" s="7" t="s">
        <v>32</v>
      </c>
      <c r="C33" s="8">
        <v>653.56</v>
      </c>
      <c r="D33" s="46"/>
      <c r="E33" s="12"/>
      <c r="F33" s="1"/>
      <c r="G33" s="1"/>
      <c r="H33" s="37"/>
      <c r="I33" s="37"/>
    </row>
    <row r="34" spans="1:9" ht="15">
      <c r="A34" s="40" t="s">
        <v>80</v>
      </c>
      <c r="B34" s="7" t="s">
        <v>33</v>
      </c>
      <c r="C34" s="8">
        <v>653.56</v>
      </c>
      <c r="D34" s="46"/>
      <c r="E34" s="12"/>
      <c r="F34" s="1"/>
      <c r="G34" s="1"/>
      <c r="H34" s="37"/>
      <c r="I34" s="37"/>
    </row>
    <row r="35" spans="1:9" ht="15">
      <c r="A35" s="40" t="s">
        <v>81</v>
      </c>
      <c r="B35" s="7" t="s">
        <v>34</v>
      </c>
      <c r="C35" s="8"/>
      <c r="D35" s="46"/>
      <c r="E35" s="12"/>
      <c r="F35" s="1"/>
      <c r="G35" s="1"/>
      <c r="H35" s="37"/>
      <c r="I35" s="37"/>
    </row>
    <row r="36" spans="1:9" ht="15">
      <c r="A36" s="40" t="s">
        <v>82</v>
      </c>
      <c r="B36" s="7" t="s">
        <v>87</v>
      </c>
      <c r="C36" s="8"/>
      <c r="D36" s="46"/>
      <c r="E36" s="12"/>
      <c r="F36" s="1"/>
      <c r="G36" s="1"/>
      <c r="H36" s="37"/>
      <c r="I36" s="37"/>
    </row>
    <row r="37" spans="1:9" ht="15">
      <c r="A37" s="40" t="s">
        <v>83</v>
      </c>
      <c r="B37" s="7" t="s">
        <v>89</v>
      </c>
      <c r="C37" s="8">
        <v>653.56</v>
      </c>
      <c r="D37" s="46"/>
      <c r="E37" s="12"/>
      <c r="F37" s="1"/>
      <c r="G37" s="1"/>
      <c r="H37" s="37"/>
      <c r="I37" s="37"/>
    </row>
    <row r="38" spans="1:9" ht="15">
      <c r="A38" s="40" t="s">
        <v>84</v>
      </c>
      <c r="B38" s="7" t="s">
        <v>90</v>
      </c>
      <c r="C38" s="8">
        <v>653.56</v>
      </c>
      <c r="D38" s="46"/>
      <c r="E38" s="12"/>
      <c r="F38" s="1"/>
      <c r="G38" s="1"/>
      <c r="H38" s="37"/>
      <c r="I38" s="37"/>
    </row>
    <row r="39" spans="1:9" ht="15">
      <c r="A39" s="40" t="s">
        <v>85</v>
      </c>
      <c r="B39" s="7" t="s">
        <v>93</v>
      </c>
      <c r="C39" s="8"/>
      <c r="D39" s="46"/>
      <c r="E39" s="12"/>
      <c r="F39" s="1"/>
      <c r="G39" s="1"/>
      <c r="H39" s="37"/>
      <c r="I39" s="37"/>
    </row>
    <row r="40" spans="1:9" ht="15">
      <c r="A40" s="40" t="s">
        <v>86</v>
      </c>
      <c r="B40" s="58" t="s">
        <v>94</v>
      </c>
      <c r="C40" s="8">
        <v>326.78</v>
      </c>
      <c r="D40" s="46"/>
      <c r="E40" s="12"/>
      <c r="F40" s="1"/>
      <c r="G40" s="1"/>
      <c r="H40" s="37"/>
      <c r="I40" s="37"/>
    </row>
    <row r="41" spans="1:9" ht="15.75" thickBot="1">
      <c r="A41" s="40" t="s">
        <v>91</v>
      </c>
      <c r="B41" s="58" t="s">
        <v>98</v>
      </c>
      <c r="C41" s="57"/>
      <c r="D41" s="46"/>
      <c r="E41" s="12"/>
      <c r="F41" s="1"/>
      <c r="G41" s="1"/>
      <c r="H41" s="37"/>
      <c r="I41" s="37"/>
    </row>
    <row r="42" spans="1:9" ht="15.75" thickBot="1">
      <c r="A42" s="54"/>
      <c r="B42" s="55" t="s">
        <v>35</v>
      </c>
      <c r="C42" s="56">
        <f>SUM(C6:C41)</f>
        <v>12907.759999999998</v>
      </c>
      <c r="D42" s="12"/>
      <c r="E42" s="12"/>
      <c r="F42" s="1"/>
      <c r="G42" s="1"/>
      <c r="H42" s="37"/>
      <c r="I42" s="37"/>
    </row>
    <row r="43" spans="1:9" ht="14.25">
      <c r="A43" s="37"/>
      <c r="B43" s="37"/>
      <c r="C43" s="39"/>
      <c r="D43" s="1"/>
      <c r="E43" s="1"/>
      <c r="F43" s="1"/>
      <c r="G43" s="1"/>
      <c r="H43" s="37"/>
      <c r="I43" s="37"/>
    </row>
    <row r="44" spans="1:9" ht="14.25">
      <c r="A44" s="37"/>
      <c r="B44" s="37"/>
      <c r="C44" s="39"/>
      <c r="D44" s="1"/>
      <c r="E44" s="1"/>
      <c r="F44" s="1"/>
      <c r="G44" s="1"/>
      <c r="H44" s="37"/>
      <c r="I44" s="37"/>
    </row>
    <row r="45" spans="1:9" ht="14.25">
      <c r="A45" s="37"/>
      <c r="B45" s="37"/>
      <c r="C45" s="37"/>
      <c r="D45" s="37"/>
      <c r="E45" s="37"/>
      <c r="F45" s="37"/>
      <c r="G45" s="37"/>
      <c r="H45" s="37"/>
      <c r="I45" s="37"/>
    </row>
    <row r="46" spans="1:9" ht="14.25">
      <c r="A46" s="37"/>
      <c r="B46" s="37"/>
      <c r="C46" s="37"/>
      <c r="D46" s="37"/>
      <c r="E46" s="37"/>
      <c r="F46" s="37"/>
      <c r="G46" s="37"/>
      <c r="H46" s="37"/>
      <c r="I46" s="37"/>
    </row>
  </sheetData>
  <printOptions/>
  <pageMargins left="0.75" right="0.75" top="1" bottom="1" header="0.5" footer="0.5"/>
  <pageSetup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L44"/>
  <sheetViews>
    <sheetView workbookViewId="0" topLeftCell="A1">
      <selection activeCell="D21" sqref="D21"/>
    </sheetView>
  </sheetViews>
  <sheetFormatPr defaultColWidth="9.140625" defaultRowHeight="12.75"/>
  <cols>
    <col min="2" max="2" width="27.7109375" style="0" customWidth="1"/>
    <col min="3" max="3" width="18.8515625" style="0" customWidth="1"/>
    <col min="4" max="4" width="17.140625" style="0" customWidth="1"/>
  </cols>
  <sheetData>
    <row r="3" spans="1:6" ht="15">
      <c r="A3" s="103" t="s">
        <v>124</v>
      </c>
      <c r="B3" s="103"/>
      <c r="C3" s="103"/>
      <c r="D3" s="103"/>
      <c r="E3" s="103"/>
      <c r="F3" s="103"/>
    </row>
    <row r="4" spans="1:6" ht="14.25">
      <c r="A4" s="102"/>
      <c r="B4" s="102"/>
      <c r="C4" s="102"/>
      <c r="D4" s="43"/>
      <c r="E4" s="37"/>
      <c r="F4" s="37"/>
    </row>
    <row r="5" spans="1:6" ht="45">
      <c r="A5" s="49" t="s">
        <v>0</v>
      </c>
      <c r="B5" s="49" t="s">
        <v>1</v>
      </c>
      <c r="C5" s="51" t="s">
        <v>96</v>
      </c>
      <c r="D5" s="51" t="s">
        <v>97</v>
      </c>
      <c r="E5" s="37"/>
      <c r="F5" s="37"/>
    </row>
    <row r="6" spans="1:12" ht="15">
      <c r="A6" s="40" t="s">
        <v>79</v>
      </c>
      <c r="B6" s="7" t="s">
        <v>6</v>
      </c>
      <c r="C6" s="8"/>
      <c r="D6" s="6"/>
      <c r="E6" s="37"/>
      <c r="F6" s="37"/>
      <c r="G6" s="3"/>
      <c r="H6" s="3"/>
      <c r="I6" s="3"/>
      <c r="J6" s="3"/>
      <c r="K6" s="3"/>
      <c r="L6" s="3"/>
    </row>
    <row r="7" spans="1:12" ht="15">
      <c r="A7" s="40" t="s">
        <v>52</v>
      </c>
      <c r="B7" s="7" t="s">
        <v>39</v>
      </c>
      <c r="C7" s="47"/>
      <c r="D7" s="6"/>
      <c r="E7" s="37"/>
      <c r="F7" s="37"/>
      <c r="G7" s="3"/>
      <c r="H7" s="3"/>
      <c r="I7" s="3"/>
      <c r="J7" s="3"/>
      <c r="K7" s="3"/>
      <c r="L7" s="3"/>
    </row>
    <row r="8" spans="1:12" ht="15">
      <c r="A8" s="40" t="s">
        <v>53</v>
      </c>
      <c r="B8" s="7" t="s">
        <v>8</v>
      </c>
      <c r="C8" s="8"/>
      <c r="D8" s="6"/>
      <c r="E8" s="37"/>
      <c r="F8" s="37"/>
      <c r="G8" s="3"/>
      <c r="H8" s="3"/>
      <c r="I8" s="3"/>
      <c r="J8" s="3"/>
      <c r="K8" s="3"/>
      <c r="L8" s="3"/>
    </row>
    <row r="9" spans="1:12" ht="15">
      <c r="A9" s="40" t="s">
        <v>54</v>
      </c>
      <c r="B9" s="7" t="s">
        <v>9</v>
      </c>
      <c r="C9" s="8"/>
      <c r="D9" s="6"/>
      <c r="E9" s="37"/>
      <c r="F9" s="37"/>
      <c r="G9" s="3"/>
      <c r="H9" s="3"/>
      <c r="I9" s="3"/>
      <c r="J9" s="3"/>
      <c r="K9" s="3"/>
      <c r="L9" s="3"/>
    </row>
    <row r="10" spans="1:12" ht="15">
      <c r="A10" s="40" t="s">
        <v>55</v>
      </c>
      <c r="B10" s="7" t="s">
        <v>10</v>
      </c>
      <c r="C10" s="8"/>
      <c r="D10" s="6"/>
      <c r="E10" s="37"/>
      <c r="F10" s="37"/>
      <c r="G10" s="3"/>
      <c r="H10" s="3"/>
      <c r="I10" s="3"/>
      <c r="J10" s="3"/>
      <c r="K10" s="3"/>
      <c r="L10" s="3"/>
    </row>
    <row r="11" spans="1:12" ht="15">
      <c r="A11" s="40" t="s">
        <v>56</v>
      </c>
      <c r="B11" s="7" t="s">
        <v>11</v>
      </c>
      <c r="C11" s="8"/>
      <c r="D11" s="6"/>
      <c r="E11" s="37"/>
      <c r="F11" s="37"/>
      <c r="G11" s="3"/>
      <c r="H11" s="3"/>
      <c r="I11" s="3"/>
      <c r="J11" s="3"/>
      <c r="K11" s="3"/>
      <c r="L11" s="3"/>
    </row>
    <row r="12" spans="1:12" ht="15">
      <c r="A12" s="40" t="s">
        <v>57</v>
      </c>
      <c r="B12" s="7" t="s">
        <v>12</v>
      </c>
      <c r="C12" s="8"/>
      <c r="D12" s="6"/>
      <c r="E12" s="37"/>
      <c r="F12" s="37"/>
      <c r="G12" s="3"/>
      <c r="H12" s="3"/>
      <c r="I12" s="3"/>
      <c r="J12" s="3"/>
      <c r="K12" s="3"/>
      <c r="L12" s="3"/>
    </row>
    <row r="13" spans="1:12" ht="15">
      <c r="A13" s="40" t="s">
        <v>58</v>
      </c>
      <c r="B13" s="7" t="s">
        <v>13</v>
      </c>
      <c r="C13" s="8"/>
      <c r="D13" s="6"/>
      <c r="E13" s="37"/>
      <c r="F13" s="37"/>
      <c r="G13" s="3"/>
      <c r="H13" s="3"/>
      <c r="I13" s="3"/>
      <c r="J13" s="3"/>
      <c r="K13" s="3"/>
      <c r="L13" s="3"/>
    </row>
    <row r="14" spans="1:12" ht="15">
      <c r="A14" s="40" t="s">
        <v>59</v>
      </c>
      <c r="B14" s="7" t="s">
        <v>112</v>
      </c>
      <c r="C14" s="8"/>
      <c r="D14" s="7"/>
      <c r="E14" s="37"/>
      <c r="F14" s="37"/>
      <c r="G14" s="3"/>
      <c r="H14" s="3"/>
      <c r="I14" s="3"/>
      <c r="J14" s="3"/>
      <c r="K14" s="3"/>
      <c r="L14" s="3"/>
    </row>
    <row r="15" spans="1:12" ht="15">
      <c r="A15" s="40" t="s">
        <v>60</v>
      </c>
      <c r="B15" s="7" t="s">
        <v>14</v>
      </c>
      <c r="C15" s="8"/>
      <c r="D15" s="6"/>
      <c r="E15" s="37"/>
      <c r="F15" s="37"/>
      <c r="G15" s="3"/>
      <c r="H15" s="3"/>
      <c r="I15" s="3"/>
      <c r="J15" s="3"/>
      <c r="K15" s="3"/>
      <c r="L15" s="3"/>
    </row>
    <row r="16" spans="1:12" ht="15">
      <c r="A16" s="40" t="s">
        <v>61</v>
      </c>
      <c r="B16" s="7" t="s">
        <v>15</v>
      </c>
      <c r="C16" s="8">
        <v>6599.35</v>
      </c>
      <c r="D16" s="6"/>
      <c r="E16" s="37"/>
      <c r="F16" s="37"/>
      <c r="G16" s="3"/>
      <c r="H16" s="3"/>
      <c r="I16" s="3"/>
      <c r="J16" s="3"/>
      <c r="K16" s="3"/>
      <c r="L16" s="3"/>
    </row>
    <row r="17" spans="1:12" ht="15">
      <c r="A17" s="40" t="s">
        <v>62</v>
      </c>
      <c r="B17" s="7" t="s">
        <v>40</v>
      </c>
      <c r="C17" s="8"/>
      <c r="D17" s="6"/>
      <c r="E17" s="37"/>
      <c r="F17" s="37"/>
      <c r="G17" s="3"/>
      <c r="H17" s="3"/>
      <c r="I17" s="3"/>
      <c r="J17" s="3"/>
      <c r="K17" s="3"/>
      <c r="L17" s="3"/>
    </row>
    <row r="18" spans="1:12" ht="15">
      <c r="A18" s="40" t="s">
        <v>63</v>
      </c>
      <c r="B18" s="7" t="s">
        <v>17</v>
      </c>
      <c r="C18" s="8"/>
      <c r="D18" s="6"/>
      <c r="E18" s="37"/>
      <c r="F18" s="37"/>
      <c r="G18" s="3"/>
      <c r="H18" s="3"/>
      <c r="I18" s="3"/>
      <c r="J18" s="3"/>
      <c r="K18" s="3"/>
      <c r="L18" s="3"/>
    </row>
    <row r="19" spans="1:12" ht="15">
      <c r="A19" s="40" t="s">
        <v>64</v>
      </c>
      <c r="B19" s="7" t="s">
        <v>18</v>
      </c>
      <c r="C19" s="8"/>
      <c r="D19" s="6"/>
      <c r="E19" s="37"/>
      <c r="F19" s="37"/>
      <c r="G19" s="3"/>
      <c r="H19" s="3"/>
      <c r="I19" s="3"/>
      <c r="J19" s="3"/>
      <c r="K19" s="3"/>
      <c r="L19" s="3"/>
    </row>
    <row r="20" spans="1:12" ht="15">
      <c r="A20" s="40" t="s">
        <v>65</v>
      </c>
      <c r="B20" s="7" t="s">
        <v>19</v>
      </c>
      <c r="C20" s="8">
        <v>3272.79</v>
      </c>
      <c r="D20" s="7">
        <v>12785.66</v>
      </c>
      <c r="E20" s="37"/>
      <c r="F20" s="37"/>
      <c r="G20" s="3"/>
      <c r="H20" s="3"/>
      <c r="I20" s="3"/>
      <c r="J20" s="3"/>
      <c r="K20" s="3"/>
      <c r="L20" s="3"/>
    </row>
    <row r="21" spans="1:12" ht="15">
      <c r="A21" s="40" t="s">
        <v>66</v>
      </c>
      <c r="B21" s="7" t="s">
        <v>20</v>
      </c>
      <c r="C21" s="8"/>
      <c r="D21" s="6"/>
      <c r="E21" s="37"/>
      <c r="F21" s="37"/>
      <c r="G21" s="3"/>
      <c r="H21" s="3"/>
      <c r="I21" s="3"/>
      <c r="J21" s="3"/>
      <c r="K21" s="3"/>
      <c r="L21" s="3"/>
    </row>
    <row r="22" spans="1:12" ht="15">
      <c r="A22" s="40" t="s">
        <v>67</v>
      </c>
      <c r="B22" s="7" t="s">
        <v>21</v>
      </c>
      <c r="C22" s="8"/>
      <c r="D22" s="6"/>
      <c r="E22" s="37"/>
      <c r="F22" s="37"/>
      <c r="G22" s="3"/>
      <c r="H22" s="3"/>
      <c r="I22" s="3"/>
      <c r="J22" s="3"/>
      <c r="K22" s="3"/>
      <c r="L22" s="3"/>
    </row>
    <row r="23" spans="1:12" ht="15">
      <c r="A23" s="40" t="s">
        <v>68</v>
      </c>
      <c r="B23" s="7" t="s">
        <v>22</v>
      </c>
      <c r="C23" s="8"/>
      <c r="D23" s="6"/>
      <c r="E23" s="37"/>
      <c r="F23" s="37"/>
      <c r="G23" s="3"/>
      <c r="H23" s="3"/>
      <c r="I23" s="3"/>
      <c r="J23" s="3"/>
      <c r="K23" s="3"/>
      <c r="L23" s="3"/>
    </row>
    <row r="24" spans="1:12" ht="15">
      <c r="A24" s="40" t="s">
        <v>69</v>
      </c>
      <c r="B24" s="7" t="s">
        <v>23</v>
      </c>
      <c r="C24" s="8"/>
      <c r="D24" s="6"/>
      <c r="E24" s="37"/>
      <c r="F24" s="37"/>
      <c r="G24" s="3"/>
      <c r="H24" s="3"/>
      <c r="I24" s="3"/>
      <c r="J24" s="3"/>
      <c r="K24" s="3"/>
      <c r="L24" s="3"/>
    </row>
    <row r="25" spans="1:12" ht="15">
      <c r="A25" s="40" t="s">
        <v>70</v>
      </c>
      <c r="B25" s="7" t="s">
        <v>24</v>
      </c>
      <c r="C25" s="8"/>
      <c r="D25" s="6"/>
      <c r="E25" s="37"/>
      <c r="F25" s="37"/>
      <c r="G25" s="3"/>
      <c r="H25" s="3"/>
      <c r="I25" s="3"/>
      <c r="J25" s="3"/>
      <c r="K25" s="3"/>
      <c r="L25" s="3"/>
    </row>
    <row r="26" spans="1:12" ht="15">
      <c r="A26" s="40" t="s">
        <v>71</v>
      </c>
      <c r="B26" s="7" t="s">
        <v>25</v>
      </c>
      <c r="C26" s="8"/>
      <c r="D26" s="7">
        <v>6325.47</v>
      </c>
      <c r="E26" s="37"/>
      <c r="F26" s="37"/>
      <c r="G26" s="3"/>
      <c r="H26" s="3"/>
      <c r="I26" s="3"/>
      <c r="J26" s="3"/>
      <c r="K26" s="3"/>
      <c r="L26" s="3"/>
    </row>
    <row r="27" spans="1:12" ht="15">
      <c r="A27" s="40" t="s">
        <v>72</v>
      </c>
      <c r="B27" s="7" t="s">
        <v>26</v>
      </c>
      <c r="C27" s="8"/>
      <c r="D27" s="6"/>
      <c r="E27" s="37"/>
      <c r="F27" s="37"/>
      <c r="G27" s="3"/>
      <c r="H27" s="3"/>
      <c r="I27" s="3"/>
      <c r="J27" s="3"/>
      <c r="K27" s="3"/>
      <c r="L27" s="3"/>
    </row>
    <row r="28" spans="1:12" ht="15">
      <c r="A28" s="40" t="s">
        <v>73</v>
      </c>
      <c r="B28" s="7" t="s">
        <v>27</v>
      </c>
      <c r="C28" s="8"/>
      <c r="D28" s="6"/>
      <c r="E28" s="37"/>
      <c r="F28" s="37"/>
      <c r="G28" s="3"/>
      <c r="H28" s="3"/>
      <c r="I28" s="3"/>
      <c r="J28" s="3"/>
      <c r="K28" s="3"/>
      <c r="L28" s="3"/>
    </row>
    <row r="29" spans="1:12" ht="15">
      <c r="A29" s="40" t="s">
        <v>74</v>
      </c>
      <c r="B29" s="7" t="s">
        <v>28</v>
      </c>
      <c r="C29" s="8">
        <v>337.68</v>
      </c>
      <c r="D29" s="7"/>
      <c r="E29" s="37"/>
      <c r="F29" s="37"/>
      <c r="G29" s="3"/>
      <c r="H29" s="3"/>
      <c r="I29" s="3"/>
      <c r="J29" s="3"/>
      <c r="K29" s="3"/>
      <c r="L29" s="3"/>
    </row>
    <row r="30" spans="1:12" ht="15">
      <c r="A30" s="40" t="s">
        <v>75</v>
      </c>
      <c r="B30" s="7" t="s">
        <v>29</v>
      </c>
      <c r="C30" s="8"/>
      <c r="D30" s="6"/>
      <c r="E30" s="37"/>
      <c r="F30" s="37"/>
      <c r="G30" s="3"/>
      <c r="H30" s="3"/>
      <c r="I30" s="3"/>
      <c r="J30" s="3"/>
      <c r="K30" s="3"/>
      <c r="L30" s="3"/>
    </row>
    <row r="31" spans="1:12" ht="15">
      <c r="A31" s="40" t="s">
        <v>76</v>
      </c>
      <c r="B31" s="7" t="s">
        <v>30</v>
      </c>
      <c r="C31" s="8"/>
      <c r="D31" s="6"/>
      <c r="E31" s="37"/>
      <c r="F31" s="37"/>
      <c r="G31" s="3"/>
      <c r="H31" s="3"/>
      <c r="I31" s="3"/>
      <c r="J31" s="3"/>
      <c r="K31" s="3"/>
      <c r="L31" s="3"/>
    </row>
    <row r="32" spans="1:12" ht="15">
      <c r="A32" s="40" t="s">
        <v>77</v>
      </c>
      <c r="B32" s="7" t="s">
        <v>31</v>
      </c>
      <c r="C32" s="8"/>
      <c r="D32" s="6"/>
      <c r="E32" s="37"/>
      <c r="F32" s="37"/>
      <c r="G32" s="3"/>
      <c r="H32" s="3"/>
      <c r="I32" s="3"/>
      <c r="J32" s="3"/>
      <c r="K32" s="3"/>
      <c r="L32" s="3"/>
    </row>
    <row r="33" spans="1:12" ht="15">
      <c r="A33" s="40" t="s">
        <v>78</v>
      </c>
      <c r="B33" s="7" t="s">
        <v>32</v>
      </c>
      <c r="C33" s="8"/>
      <c r="D33" s="7"/>
      <c r="E33" s="37"/>
      <c r="F33" s="37"/>
      <c r="G33" s="3"/>
      <c r="H33" s="3"/>
      <c r="I33" s="3"/>
      <c r="J33" s="3"/>
      <c r="K33" s="3"/>
      <c r="L33" s="3"/>
    </row>
    <row r="34" spans="1:12" ht="15">
      <c r="A34" s="40" t="s">
        <v>80</v>
      </c>
      <c r="B34" s="7" t="s">
        <v>33</v>
      </c>
      <c r="C34" s="8"/>
      <c r="D34" s="6"/>
      <c r="E34" s="37"/>
      <c r="F34" s="37"/>
      <c r="G34" s="3"/>
      <c r="H34" s="3"/>
      <c r="I34" s="3"/>
      <c r="J34" s="3"/>
      <c r="K34" s="3"/>
      <c r="L34" s="3"/>
    </row>
    <row r="35" spans="1:12" ht="15">
      <c r="A35" s="40" t="s">
        <v>81</v>
      </c>
      <c r="B35" s="7" t="s">
        <v>34</v>
      </c>
      <c r="C35" s="8"/>
      <c r="D35" s="6"/>
      <c r="E35" s="37"/>
      <c r="F35" s="37"/>
      <c r="G35" s="3"/>
      <c r="H35" s="3"/>
      <c r="I35" s="3"/>
      <c r="J35" s="3"/>
      <c r="K35" s="3"/>
      <c r="L35" s="3"/>
    </row>
    <row r="36" spans="1:12" ht="15">
      <c r="A36" s="40" t="s">
        <v>82</v>
      </c>
      <c r="B36" s="7" t="s">
        <v>87</v>
      </c>
      <c r="C36" s="8"/>
      <c r="D36" s="6"/>
      <c r="E36" s="37"/>
      <c r="F36" s="37"/>
      <c r="G36" s="3"/>
      <c r="H36" s="3"/>
      <c r="I36" s="3"/>
      <c r="J36" s="3"/>
      <c r="K36" s="3"/>
      <c r="L36" s="3"/>
    </row>
    <row r="37" spans="1:12" ht="15">
      <c r="A37" s="40" t="s">
        <v>83</v>
      </c>
      <c r="B37" s="7" t="s">
        <v>89</v>
      </c>
      <c r="C37" s="8"/>
      <c r="D37" s="7">
        <v>2760.7</v>
      </c>
      <c r="E37" s="37"/>
      <c r="F37" s="37"/>
      <c r="G37" s="3"/>
      <c r="H37" s="3"/>
      <c r="I37" s="3"/>
      <c r="J37" s="3"/>
      <c r="K37" s="3"/>
      <c r="L37" s="3"/>
    </row>
    <row r="38" spans="1:12" ht="15">
      <c r="A38" s="40" t="s">
        <v>84</v>
      </c>
      <c r="B38" s="7" t="s">
        <v>90</v>
      </c>
      <c r="C38" s="47"/>
      <c r="D38" s="6"/>
      <c r="E38" s="37"/>
      <c r="F38" s="37"/>
      <c r="G38" s="3"/>
      <c r="H38" s="3"/>
      <c r="I38" s="3"/>
      <c r="J38" s="3"/>
      <c r="K38" s="3"/>
      <c r="L38" s="3"/>
    </row>
    <row r="39" spans="1:12" ht="15">
      <c r="A39" s="40" t="s">
        <v>85</v>
      </c>
      <c r="B39" s="7" t="s">
        <v>93</v>
      </c>
      <c r="C39" s="47"/>
      <c r="D39" s="6"/>
      <c r="E39" s="37"/>
      <c r="F39" s="37"/>
      <c r="G39" s="3"/>
      <c r="H39" s="3"/>
      <c r="I39" s="3"/>
      <c r="J39" s="3"/>
      <c r="K39" s="3"/>
      <c r="L39" s="3"/>
    </row>
    <row r="40" spans="1:12" ht="15">
      <c r="A40" s="40" t="s">
        <v>86</v>
      </c>
      <c r="B40" s="7" t="s">
        <v>94</v>
      </c>
      <c r="C40" s="47"/>
      <c r="D40" s="6"/>
      <c r="E40" s="37"/>
      <c r="F40" s="37"/>
      <c r="G40" s="3"/>
      <c r="H40" s="3"/>
      <c r="I40" s="3"/>
      <c r="J40" s="3"/>
      <c r="K40" s="3"/>
      <c r="L40" s="3"/>
    </row>
    <row r="41" spans="1:12" ht="15.75" thickBot="1">
      <c r="A41" s="40" t="s">
        <v>91</v>
      </c>
      <c r="B41" s="7" t="s">
        <v>98</v>
      </c>
      <c r="C41" s="72"/>
      <c r="D41" s="59"/>
      <c r="E41" s="37"/>
      <c r="F41" s="37"/>
      <c r="G41" s="3"/>
      <c r="H41" s="3"/>
      <c r="I41" s="3"/>
      <c r="J41" s="3"/>
      <c r="K41" s="3"/>
      <c r="L41" s="3"/>
    </row>
    <row r="42" spans="1:12" ht="15.75" thickBot="1">
      <c r="A42" s="71"/>
      <c r="B42" s="73" t="s">
        <v>35</v>
      </c>
      <c r="C42" s="74">
        <f>SUM(C6:C41)</f>
        <v>10209.82</v>
      </c>
      <c r="D42" s="56">
        <f>SUM(D6:D41)</f>
        <v>21871.83</v>
      </c>
      <c r="E42" s="37"/>
      <c r="F42" s="37"/>
      <c r="G42" s="3"/>
      <c r="H42" s="3"/>
      <c r="I42" s="3"/>
      <c r="J42" s="3"/>
      <c r="K42" s="3"/>
      <c r="L42" s="3"/>
    </row>
    <row r="43" spans="1:12" ht="14.25">
      <c r="A43" s="37"/>
      <c r="B43" s="37"/>
      <c r="C43" s="37"/>
      <c r="D43" s="1"/>
      <c r="E43" s="37"/>
      <c r="F43" s="37"/>
      <c r="G43" s="3"/>
      <c r="H43" s="3"/>
      <c r="I43" s="3"/>
      <c r="J43" s="3"/>
      <c r="K43" s="3"/>
      <c r="L43" s="3"/>
    </row>
    <row r="44" spans="1:6" ht="14.25">
      <c r="A44" s="37"/>
      <c r="B44" s="37"/>
      <c r="C44" s="37"/>
      <c r="D44" s="37"/>
      <c r="E44" s="37"/>
      <c r="F44" s="37"/>
    </row>
  </sheetData>
  <mergeCells count="2">
    <mergeCell ref="A3:F3"/>
    <mergeCell ref="A4:C4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54"/>
  <sheetViews>
    <sheetView view="pageBreakPreview" zoomScale="60" workbookViewId="0" topLeftCell="A4">
      <selection activeCell="C7" sqref="C7:C42"/>
    </sheetView>
  </sheetViews>
  <sheetFormatPr defaultColWidth="9.140625" defaultRowHeight="12.75"/>
  <cols>
    <col min="1" max="1" width="6.8515625" style="0" customWidth="1"/>
    <col min="2" max="2" width="28.7109375" style="0" customWidth="1"/>
    <col min="3" max="3" width="18.421875" style="0" customWidth="1"/>
    <col min="4" max="4" width="18.28125" style="0" customWidth="1"/>
    <col min="5" max="5" width="16.28125" style="0" customWidth="1"/>
    <col min="6" max="6" width="9.8515625" style="0" customWidth="1"/>
  </cols>
  <sheetData>
    <row r="3" spans="1:6" ht="15">
      <c r="A3" s="99" t="s">
        <v>114</v>
      </c>
      <c r="B3" s="99"/>
      <c r="C3" s="99"/>
      <c r="D3" s="99"/>
      <c r="E3" s="99"/>
      <c r="F3" s="99"/>
    </row>
    <row r="4" spans="1:6" ht="15">
      <c r="A4" s="35"/>
      <c r="B4" s="36"/>
      <c r="C4" s="36"/>
      <c r="D4" s="35"/>
      <c r="E4" s="35"/>
      <c r="F4" s="35"/>
    </row>
    <row r="5" spans="1:6" ht="15" thickBot="1">
      <c r="A5" s="37"/>
      <c r="B5" s="37"/>
      <c r="C5" s="38"/>
      <c r="D5" s="37"/>
      <c r="E5" s="39"/>
      <c r="F5" s="37"/>
    </row>
    <row r="6" spans="1:6" ht="46.5" customHeight="1" thickBot="1">
      <c r="A6" s="67" t="s">
        <v>0</v>
      </c>
      <c r="B6" s="68" t="s">
        <v>1</v>
      </c>
      <c r="C6" s="69" t="s">
        <v>36</v>
      </c>
      <c r="D6" s="69" t="s">
        <v>37</v>
      </c>
      <c r="E6" s="70" t="s">
        <v>38</v>
      </c>
      <c r="F6" s="37"/>
    </row>
    <row r="7" spans="1:9" ht="15">
      <c r="A7" s="63" t="s">
        <v>79</v>
      </c>
      <c r="B7" s="64" t="s">
        <v>6</v>
      </c>
      <c r="C7" s="65">
        <v>6616.13</v>
      </c>
      <c r="D7" s="65">
        <v>5290.38</v>
      </c>
      <c r="E7" s="66">
        <f>C7+D7</f>
        <v>11906.51</v>
      </c>
      <c r="F7" s="37"/>
      <c r="H7" s="3"/>
      <c r="I7" s="3"/>
    </row>
    <row r="8" spans="1:8" ht="15">
      <c r="A8" s="40" t="s">
        <v>52</v>
      </c>
      <c r="B8" s="7" t="s">
        <v>39</v>
      </c>
      <c r="C8" s="6">
        <v>3863.15</v>
      </c>
      <c r="D8" s="6">
        <v>3090.92</v>
      </c>
      <c r="E8" s="66">
        <f aca="true" t="shared" si="0" ref="E8:E43">C8+D8</f>
        <v>6954.07</v>
      </c>
      <c r="F8" s="37"/>
      <c r="H8" s="3"/>
    </row>
    <row r="9" spans="1:8" ht="15">
      <c r="A9" s="63" t="s">
        <v>53</v>
      </c>
      <c r="B9" s="7" t="s">
        <v>8</v>
      </c>
      <c r="C9" s="1">
        <v>3568.22</v>
      </c>
      <c r="D9" s="6">
        <v>2854.6</v>
      </c>
      <c r="E9" s="66">
        <f t="shared" si="0"/>
        <v>6422.82</v>
      </c>
      <c r="F9" s="37"/>
      <c r="H9" s="3"/>
    </row>
    <row r="10" spans="1:8" ht="15">
      <c r="A10" s="40" t="s">
        <v>54</v>
      </c>
      <c r="B10" s="7" t="s">
        <v>9</v>
      </c>
      <c r="C10" s="6"/>
      <c r="D10" s="6"/>
      <c r="E10" s="66">
        <f t="shared" si="0"/>
        <v>0</v>
      </c>
      <c r="F10" s="37"/>
      <c r="H10" s="3"/>
    </row>
    <row r="11" spans="1:8" ht="15">
      <c r="A11" s="63" t="s">
        <v>55</v>
      </c>
      <c r="B11" s="7" t="s">
        <v>10</v>
      </c>
      <c r="C11" s="6">
        <v>4493.34</v>
      </c>
      <c r="D11" s="6">
        <v>3593.73</v>
      </c>
      <c r="E11" s="66">
        <f t="shared" si="0"/>
        <v>8087.07</v>
      </c>
      <c r="F11" s="37"/>
      <c r="H11" s="3"/>
    </row>
    <row r="12" spans="1:8" ht="15">
      <c r="A12" s="40" t="s">
        <v>56</v>
      </c>
      <c r="B12" s="7" t="s">
        <v>11</v>
      </c>
      <c r="C12" s="6">
        <v>1885.86</v>
      </c>
      <c r="D12" s="6">
        <v>1508.79</v>
      </c>
      <c r="E12" s="66">
        <f t="shared" si="0"/>
        <v>3394.6499999999996</v>
      </c>
      <c r="F12" s="37"/>
      <c r="H12" s="3"/>
    </row>
    <row r="13" spans="1:8" ht="15">
      <c r="A13" s="63" t="s">
        <v>57</v>
      </c>
      <c r="B13" s="7" t="s">
        <v>12</v>
      </c>
      <c r="C13" s="6"/>
      <c r="D13" s="6"/>
      <c r="E13" s="66">
        <f t="shared" si="0"/>
        <v>0</v>
      </c>
      <c r="F13" s="37"/>
      <c r="H13" s="3"/>
    </row>
    <row r="14" spans="1:8" ht="15">
      <c r="A14" s="40" t="s">
        <v>58</v>
      </c>
      <c r="B14" s="7" t="s">
        <v>13</v>
      </c>
      <c r="C14" s="6">
        <v>6144.77</v>
      </c>
      <c r="D14" s="6">
        <v>4915.93</v>
      </c>
      <c r="E14" s="66">
        <f t="shared" si="0"/>
        <v>11060.7</v>
      </c>
      <c r="F14" s="37"/>
      <c r="H14" s="3"/>
    </row>
    <row r="15" spans="1:8" ht="15">
      <c r="A15" s="63" t="s">
        <v>59</v>
      </c>
      <c r="B15" s="7" t="s">
        <v>112</v>
      </c>
      <c r="C15" s="6">
        <v>6885.42</v>
      </c>
      <c r="D15" s="6">
        <v>5508.73</v>
      </c>
      <c r="E15" s="66">
        <f t="shared" si="0"/>
        <v>12394.15</v>
      </c>
      <c r="F15" s="37"/>
      <c r="H15" s="3"/>
    </row>
    <row r="16" spans="1:8" ht="15">
      <c r="A16" s="40" t="s">
        <v>60</v>
      </c>
      <c r="B16" s="7" t="s">
        <v>14</v>
      </c>
      <c r="C16" s="6">
        <v>420.51</v>
      </c>
      <c r="D16" s="6">
        <v>336.43</v>
      </c>
      <c r="E16" s="66">
        <f t="shared" si="0"/>
        <v>756.94</v>
      </c>
      <c r="F16" s="37"/>
      <c r="H16" s="3"/>
    </row>
    <row r="17" spans="1:8" ht="15">
      <c r="A17" s="63" t="s">
        <v>61</v>
      </c>
      <c r="B17" s="7" t="s">
        <v>15</v>
      </c>
      <c r="C17" s="6">
        <v>2752.95</v>
      </c>
      <c r="D17" s="6">
        <v>2202.59</v>
      </c>
      <c r="E17" s="66">
        <f t="shared" si="0"/>
        <v>4955.54</v>
      </c>
      <c r="F17" s="37"/>
      <c r="H17" s="3"/>
    </row>
    <row r="18" spans="1:8" ht="15">
      <c r="A18" s="40" t="s">
        <v>62</v>
      </c>
      <c r="B18" s="7" t="s">
        <v>40</v>
      </c>
      <c r="C18" s="6">
        <v>10549.36</v>
      </c>
      <c r="D18" s="6">
        <v>8440.23</v>
      </c>
      <c r="E18" s="66">
        <f t="shared" si="0"/>
        <v>18989.59</v>
      </c>
      <c r="F18" s="37"/>
      <c r="H18" s="3"/>
    </row>
    <row r="19" spans="1:8" ht="15">
      <c r="A19" s="63" t="s">
        <v>63</v>
      </c>
      <c r="B19" s="7" t="s">
        <v>17</v>
      </c>
      <c r="C19" s="6">
        <v>5489.41</v>
      </c>
      <c r="D19" s="6">
        <v>4391.8</v>
      </c>
      <c r="E19" s="66">
        <f t="shared" si="0"/>
        <v>9881.21</v>
      </c>
      <c r="F19" s="37"/>
      <c r="H19" s="3"/>
    </row>
    <row r="20" spans="1:8" ht="15">
      <c r="A20" s="40" t="s">
        <v>64</v>
      </c>
      <c r="B20" s="7" t="s">
        <v>18</v>
      </c>
      <c r="C20" s="6">
        <v>693.42</v>
      </c>
      <c r="D20" s="6">
        <v>554.84</v>
      </c>
      <c r="E20" s="66">
        <f t="shared" si="0"/>
        <v>1248.26</v>
      </c>
      <c r="F20" s="37"/>
      <c r="H20" s="3"/>
    </row>
    <row r="21" spans="1:8" ht="15">
      <c r="A21" s="63" t="s">
        <v>65</v>
      </c>
      <c r="B21" s="7" t="s">
        <v>19</v>
      </c>
      <c r="C21" s="6">
        <v>3145.3</v>
      </c>
      <c r="D21" s="6">
        <v>2516.47</v>
      </c>
      <c r="E21" s="66">
        <f t="shared" si="0"/>
        <v>5661.77</v>
      </c>
      <c r="F21" s="37"/>
      <c r="H21" s="3"/>
    </row>
    <row r="22" spans="1:8" ht="15">
      <c r="A22" s="40" t="s">
        <v>66</v>
      </c>
      <c r="B22" s="7" t="s">
        <v>20</v>
      </c>
      <c r="C22" s="6">
        <v>3504.2</v>
      </c>
      <c r="D22" s="6">
        <v>2803.67</v>
      </c>
      <c r="E22" s="66">
        <f t="shared" si="0"/>
        <v>6307.87</v>
      </c>
      <c r="F22" s="37"/>
      <c r="H22" s="3"/>
    </row>
    <row r="23" spans="1:8" ht="15">
      <c r="A23" s="63" t="s">
        <v>67</v>
      </c>
      <c r="B23" s="7" t="s">
        <v>21</v>
      </c>
      <c r="C23" s="6"/>
      <c r="D23" s="6"/>
      <c r="E23" s="66">
        <f t="shared" si="0"/>
        <v>0</v>
      </c>
      <c r="F23" s="37"/>
      <c r="H23" s="3"/>
    </row>
    <row r="24" spans="1:8" ht="15">
      <c r="A24" s="40" t="s">
        <v>68</v>
      </c>
      <c r="B24" s="7" t="s">
        <v>22</v>
      </c>
      <c r="C24" s="6">
        <v>322.87</v>
      </c>
      <c r="D24" s="6">
        <v>258.28</v>
      </c>
      <c r="E24" s="66">
        <f t="shared" si="0"/>
        <v>581.15</v>
      </c>
      <c r="F24" s="37"/>
      <c r="H24" s="3"/>
    </row>
    <row r="25" spans="1:8" ht="15">
      <c r="A25" s="63" t="s">
        <v>69</v>
      </c>
      <c r="B25" s="7" t="s">
        <v>23</v>
      </c>
      <c r="C25" s="6">
        <v>1233.1</v>
      </c>
      <c r="D25" s="6">
        <v>986.42</v>
      </c>
      <c r="E25" s="66">
        <f t="shared" si="0"/>
        <v>2219.52</v>
      </c>
      <c r="F25" s="37"/>
      <c r="H25" s="3"/>
    </row>
    <row r="26" spans="1:8" ht="15">
      <c r="A26" s="40" t="s">
        <v>70</v>
      </c>
      <c r="B26" s="7" t="s">
        <v>24</v>
      </c>
      <c r="C26" s="6">
        <v>2358.22</v>
      </c>
      <c r="D26" s="6">
        <v>1886.72</v>
      </c>
      <c r="E26" s="66">
        <f t="shared" si="0"/>
        <v>4244.94</v>
      </c>
      <c r="F26" s="37"/>
      <c r="H26" s="3"/>
    </row>
    <row r="27" spans="1:8" ht="15">
      <c r="A27" s="63" t="s">
        <v>71</v>
      </c>
      <c r="B27" s="7" t="s">
        <v>25</v>
      </c>
      <c r="C27" s="6">
        <v>6810.95</v>
      </c>
      <c r="D27" s="6">
        <v>5449.89</v>
      </c>
      <c r="E27" s="66">
        <f t="shared" si="0"/>
        <v>12260.84</v>
      </c>
      <c r="F27" s="37"/>
      <c r="H27" s="3"/>
    </row>
    <row r="28" spans="1:8" ht="15">
      <c r="A28" s="40" t="s">
        <v>72</v>
      </c>
      <c r="B28" s="7" t="s">
        <v>26</v>
      </c>
      <c r="C28" s="6">
        <v>1398.53</v>
      </c>
      <c r="D28" s="6">
        <v>1118.77</v>
      </c>
      <c r="E28" s="66">
        <f t="shared" si="0"/>
        <v>2517.3</v>
      </c>
      <c r="F28" s="37"/>
      <c r="H28" s="3"/>
    </row>
    <row r="29" spans="1:8" ht="15">
      <c r="A29" s="63" t="s">
        <v>73</v>
      </c>
      <c r="B29" s="7" t="s">
        <v>27</v>
      </c>
      <c r="C29" s="6">
        <v>2465.96</v>
      </c>
      <c r="D29" s="6">
        <v>1972.82</v>
      </c>
      <c r="E29" s="66">
        <f t="shared" si="0"/>
        <v>4438.78</v>
      </c>
      <c r="F29" s="37"/>
      <c r="H29" s="3"/>
    </row>
    <row r="30" spans="1:8" ht="15">
      <c r="A30" s="40" t="s">
        <v>74</v>
      </c>
      <c r="B30" s="7" t="s">
        <v>28</v>
      </c>
      <c r="C30" s="6">
        <v>7148.21</v>
      </c>
      <c r="D30" s="6">
        <v>5716.48</v>
      </c>
      <c r="E30" s="66">
        <f t="shared" si="0"/>
        <v>12864.689999999999</v>
      </c>
      <c r="F30" s="37"/>
      <c r="H30" s="3"/>
    </row>
    <row r="31" spans="1:8" ht="15">
      <c r="A31" s="63" t="s">
        <v>75</v>
      </c>
      <c r="B31" s="7" t="s">
        <v>29</v>
      </c>
      <c r="C31" s="6">
        <v>68.46</v>
      </c>
      <c r="D31" s="6">
        <v>54.77</v>
      </c>
      <c r="E31" s="66">
        <f t="shared" si="0"/>
        <v>123.22999999999999</v>
      </c>
      <c r="F31" s="37"/>
      <c r="H31" s="3"/>
    </row>
    <row r="32" spans="1:8" ht="15">
      <c r="A32" s="40" t="s">
        <v>76</v>
      </c>
      <c r="B32" s="7" t="s">
        <v>30</v>
      </c>
      <c r="C32" s="6">
        <v>2199.46</v>
      </c>
      <c r="D32" s="6">
        <v>1759.78</v>
      </c>
      <c r="E32" s="66">
        <f t="shared" si="0"/>
        <v>3959.24</v>
      </c>
      <c r="F32" s="37"/>
      <c r="H32" s="3"/>
    </row>
    <row r="33" spans="1:8" ht="15">
      <c r="A33" s="63" t="s">
        <v>77</v>
      </c>
      <c r="B33" s="7" t="s">
        <v>31</v>
      </c>
      <c r="C33" s="6">
        <v>2020.43</v>
      </c>
      <c r="D33" s="6">
        <v>1616.39</v>
      </c>
      <c r="E33" s="66">
        <f t="shared" si="0"/>
        <v>3636.82</v>
      </c>
      <c r="F33" s="37"/>
      <c r="H33" s="3"/>
    </row>
    <row r="34" spans="1:8" ht="15">
      <c r="A34" s="40" t="s">
        <v>78</v>
      </c>
      <c r="B34" s="7" t="s">
        <v>32</v>
      </c>
      <c r="C34" s="6">
        <v>5514.55</v>
      </c>
      <c r="D34" s="6">
        <v>4411.89</v>
      </c>
      <c r="E34" s="66">
        <f t="shared" si="0"/>
        <v>9926.44</v>
      </c>
      <c r="F34" s="37"/>
      <c r="H34" s="3"/>
    </row>
    <row r="35" spans="1:8" ht="15">
      <c r="A35" s="63" t="s">
        <v>80</v>
      </c>
      <c r="B35" s="7" t="s">
        <v>33</v>
      </c>
      <c r="C35" s="6">
        <v>8918.62</v>
      </c>
      <c r="D35" s="6">
        <v>7135.47</v>
      </c>
      <c r="E35" s="66">
        <f t="shared" si="0"/>
        <v>16054.09</v>
      </c>
      <c r="F35" s="37"/>
      <c r="H35" s="3"/>
    </row>
    <row r="36" spans="1:8" ht="15">
      <c r="A36" s="40" t="s">
        <v>81</v>
      </c>
      <c r="B36" s="7" t="s">
        <v>34</v>
      </c>
      <c r="C36" s="6"/>
      <c r="D36" s="6"/>
      <c r="E36" s="66">
        <f t="shared" si="0"/>
        <v>0</v>
      </c>
      <c r="F36" s="37"/>
      <c r="H36" s="3"/>
    </row>
    <row r="37" spans="1:8" ht="15">
      <c r="A37" s="63" t="s">
        <v>82</v>
      </c>
      <c r="B37" s="7" t="s">
        <v>87</v>
      </c>
      <c r="C37" s="6">
        <v>818.03</v>
      </c>
      <c r="D37" s="6">
        <v>654.51</v>
      </c>
      <c r="E37" s="66">
        <f t="shared" si="0"/>
        <v>1472.54</v>
      </c>
      <c r="F37" s="37"/>
      <c r="H37" s="3"/>
    </row>
    <row r="38" spans="1:8" ht="15">
      <c r="A38" s="40" t="s">
        <v>83</v>
      </c>
      <c r="B38" s="7" t="s">
        <v>89</v>
      </c>
      <c r="C38" s="6">
        <v>2753.62</v>
      </c>
      <c r="D38" s="6">
        <v>2203.02</v>
      </c>
      <c r="E38" s="66">
        <f t="shared" si="0"/>
        <v>4956.639999999999</v>
      </c>
      <c r="F38" s="37"/>
      <c r="H38" s="3"/>
    </row>
    <row r="39" spans="1:8" ht="15">
      <c r="A39" s="63" t="s">
        <v>84</v>
      </c>
      <c r="B39" s="7" t="s">
        <v>90</v>
      </c>
      <c r="C39" s="6">
        <v>4536.62</v>
      </c>
      <c r="D39" s="6">
        <v>3629.48</v>
      </c>
      <c r="E39" s="66">
        <f t="shared" si="0"/>
        <v>8166.1</v>
      </c>
      <c r="F39" s="37"/>
      <c r="H39" s="3"/>
    </row>
    <row r="40" spans="1:8" ht="15">
      <c r="A40" s="40" t="s">
        <v>85</v>
      </c>
      <c r="B40" s="7" t="s">
        <v>93</v>
      </c>
      <c r="C40" s="6">
        <v>1475.67</v>
      </c>
      <c r="D40" s="6">
        <v>1180.48</v>
      </c>
      <c r="E40" s="66">
        <f t="shared" si="0"/>
        <v>2656.15</v>
      </c>
      <c r="F40" s="37"/>
      <c r="H40" s="3"/>
    </row>
    <row r="41" spans="1:8" ht="15">
      <c r="A41" s="63" t="s">
        <v>86</v>
      </c>
      <c r="B41" s="7" t="s">
        <v>94</v>
      </c>
      <c r="C41" s="6">
        <v>305.75</v>
      </c>
      <c r="D41" s="6">
        <v>244.6</v>
      </c>
      <c r="E41" s="66">
        <f t="shared" si="0"/>
        <v>550.35</v>
      </c>
      <c r="F41" s="37"/>
      <c r="H41" s="3"/>
    </row>
    <row r="42" spans="1:8" ht="15.75" thickBot="1">
      <c r="A42" s="94" t="s">
        <v>91</v>
      </c>
      <c r="B42" s="58" t="s">
        <v>98</v>
      </c>
      <c r="C42" s="59">
        <v>2305.52</v>
      </c>
      <c r="D42" s="59">
        <v>1844.65</v>
      </c>
      <c r="E42" s="95">
        <f t="shared" si="0"/>
        <v>4150.17</v>
      </c>
      <c r="F42" s="37"/>
      <c r="H42" s="3"/>
    </row>
    <row r="43" spans="1:8" ht="15.75" thickBot="1">
      <c r="A43" s="60"/>
      <c r="B43" s="61" t="s">
        <v>35</v>
      </c>
      <c r="C43" s="62">
        <f>SUM(C7:C42)</f>
        <v>112666.61</v>
      </c>
      <c r="D43" s="62">
        <f>SUM(D7:D42)</f>
        <v>90133.52999999998</v>
      </c>
      <c r="E43" s="96">
        <f t="shared" si="0"/>
        <v>202800.13999999998</v>
      </c>
      <c r="F43" s="37"/>
      <c r="H43" s="3"/>
    </row>
    <row r="44" spans="1:6" ht="14.25">
      <c r="A44" s="37"/>
      <c r="B44" s="37"/>
      <c r="C44" s="1"/>
      <c r="D44" s="1"/>
      <c r="E44" s="41"/>
      <c r="F44" s="37"/>
    </row>
    <row r="46" ht="12.75">
      <c r="D46" s="3"/>
    </row>
    <row r="47" ht="12.75">
      <c r="C47" s="3"/>
    </row>
    <row r="48" ht="12.75">
      <c r="E48" s="3"/>
    </row>
    <row r="54" ht="12.75">
      <c r="C54" s="3"/>
    </row>
  </sheetData>
  <mergeCells count="1">
    <mergeCell ref="A3:F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51"/>
  <sheetViews>
    <sheetView tabSelected="1" workbookViewId="0" topLeftCell="A13">
      <selection activeCell="C46" sqref="C46"/>
    </sheetView>
  </sheetViews>
  <sheetFormatPr defaultColWidth="9.140625" defaultRowHeight="12.75"/>
  <cols>
    <col min="2" max="2" width="29.140625" style="0" customWidth="1"/>
    <col min="3" max="3" width="12.57421875" style="0" customWidth="1"/>
    <col min="4" max="4" width="11.7109375" style="0" bestFit="1" customWidth="1"/>
  </cols>
  <sheetData>
    <row r="3" spans="1:7" ht="15">
      <c r="A3" s="100" t="s">
        <v>115</v>
      </c>
      <c r="B3" s="100"/>
      <c r="C3" s="100"/>
      <c r="D3" s="100"/>
      <c r="E3" s="100"/>
      <c r="F3" s="100"/>
      <c r="G3" s="100"/>
    </row>
    <row r="4" spans="1:7" ht="14.25">
      <c r="A4" s="37"/>
      <c r="B4" s="37"/>
      <c r="C4" s="39"/>
      <c r="D4" s="1"/>
      <c r="E4" s="1"/>
      <c r="F4" s="37"/>
      <c r="G4" s="37"/>
    </row>
    <row r="5" spans="1:7" ht="30">
      <c r="A5" s="49" t="s">
        <v>0</v>
      </c>
      <c r="B5" s="49" t="s">
        <v>1</v>
      </c>
      <c r="C5" s="51" t="s">
        <v>41</v>
      </c>
      <c r="D5" s="1"/>
      <c r="E5" s="1"/>
      <c r="F5" s="37"/>
      <c r="G5" s="37"/>
    </row>
    <row r="6" spans="1:7" ht="15">
      <c r="A6" s="40" t="s">
        <v>79</v>
      </c>
      <c r="B6" s="7" t="s">
        <v>6</v>
      </c>
      <c r="C6" s="8">
        <v>31193.21</v>
      </c>
      <c r="D6" s="1"/>
      <c r="E6" s="1"/>
      <c r="F6" s="37"/>
      <c r="G6" s="37"/>
    </row>
    <row r="7" spans="1:7" ht="15">
      <c r="A7" s="40" t="s">
        <v>52</v>
      </c>
      <c r="B7" s="7" t="s">
        <v>39</v>
      </c>
      <c r="C7" s="8">
        <v>15290.56</v>
      </c>
      <c r="D7" s="1"/>
      <c r="E7" s="1"/>
      <c r="F7" s="37"/>
      <c r="G7" s="37"/>
    </row>
    <row r="8" spans="1:7" ht="15">
      <c r="A8" s="40" t="s">
        <v>53</v>
      </c>
      <c r="B8" s="7" t="s">
        <v>8</v>
      </c>
      <c r="C8" s="8">
        <v>9141.29</v>
      </c>
      <c r="D8" s="1"/>
      <c r="E8" s="1"/>
      <c r="F8" s="37"/>
      <c r="G8" s="37"/>
    </row>
    <row r="9" spans="1:7" ht="15">
      <c r="A9" s="40" t="s">
        <v>54</v>
      </c>
      <c r="B9" s="7" t="s">
        <v>9</v>
      </c>
      <c r="C9" s="8"/>
      <c r="D9" s="1"/>
      <c r="E9" s="1"/>
      <c r="F9" s="37"/>
      <c r="G9" s="37"/>
    </row>
    <row r="10" spans="1:7" ht="15">
      <c r="A10" s="40" t="s">
        <v>55</v>
      </c>
      <c r="B10" s="7" t="s">
        <v>10</v>
      </c>
      <c r="C10" s="8">
        <v>2588.95</v>
      </c>
      <c r="D10" s="1"/>
      <c r="E10" s="1"/>
      <c r="F10" s="37"/>
      <c r="G10" s="37"/>
    </row>
    <row r="11" spans="1:7" ht="15">
      <c r="A11" s="40" t="s">
        <v>56</v>
      </c>
      <c r="B11" s="7" t="s">
        <v>11</v>
      </c>
      <c r="C11" s="8">
        <v>16984.3</v>
      </c>
      <c r="D11" s="1"/>
      <c r="E11" s="1"/>
      <c r="F11" s="37"/>
      <c r="G11" s="37"/>
    </row>
    <row r="12" spans="1:7" ht="15">
      <c r="A12" s="40" t="s">
        <v>57</v>
      </c>
      <c r="B12" s="7" t="s">
        <v>12</v>
      </c>
      <c r="C12" s="8"/>
      <c r="D12" s="1"/>
      <c r="E12" s="1"/>
      <c r="F12" s="37"/>
      <c r="G12" s="37"/>
    </row>
    <row r="13" spans="1:7" ht="15">
      <c r="A13" s="40" t="s">
        <v>58</v>
      </c>
      <c r="B13" s="7" t="s">
        <v>13</v>
      </c>
      <c r="C13" s="8">
        <v>29455.2</v>
      </c>
      <c r="D13" s="1"/>
      <c r="E13" s="1"/>
      <c r="F13" s="37"/>
      <c r="G13" s="37"/>
    </row>
    <row r="14" spans="1:7" ht="15">
      <c r="A14" s="40" t="s">
        <v>59</v>
      </c>
      <c r="B14" s="7" t="s">
        <v>112</v>
      </c>
      <c r="C14" s="8">
        <v>24207.42</v>
      </c>
      <c r="D14" s="1"/>
      <c r="E14" s="1"/>
      <c r="F14" s="37"/>
      <c r="G14" s="37"/>
    </row>
    <row r="15" spans="1:7" ht="15">
      <c r="A15" s="40" t="s">
        <v>60</v>
      </c>
      <c r="B15" s="7" t="s">
        <v>14</v>
      </c>
      <c r="C15" s="8">
        <v>30676.77</v>
      </c>
      <c r="D15" s="1"/>
      <c r="E15" s="1"/>
      <c r="F15" s="37"/>
      <c r="G15" s="37"/>
    </row>
    <row r="16" spans="1:7" ht="15">
      <c r="A16" s="40" t="s">
        <v>61</v>
      </c>
      <c r="B16" s="7" t="s">
        <v>15</v>
      </c>
      <c r="C16" s="8">
        <v>11428.9</v>
      </c>
      <c r="D16" s="1"/>
      <c r="E16" s="1"/>
      <c r="F16" s="37"/>
      <c r="G16" s="37"/>
    </row>
    <row r="17" spans="1:7" ht="15">
      <c r="A17" s="40" t="s">
        <v>62</v>
      </c>
      <c r="B17" s="7" t="s">
        <v>40</v>
      </c>
      <c r="C17" s="8">
        <v>35333.92</v>
      </c>
      <c r="D17" s="1"/>
      <c r="E17" s="1"/>
      <c r="F17" s="37"/>
      <c r="G17" s="37"/>
    </row>
    <row r="18" spans="1:7" ht="15">
      <c r="A18" s="40" t="s">
        <v>63</v>
      </c>
      <c r="B18" s="7" t="s">
        <v>17</v>
      </c>
      <c r="C18" s="8">
        <v>8046.83</v>
      </c>
      <c r="D18" s="1"/>
      <c r="E18" s="1"/>
      <c r="F18" s="37"/>
      <c r="G18" s="37"/>
    </row>
    <row r="19" spans="1:7" ht="15">
      <c r="A19" s="40" t="s">
        <v>64</v>
      </c>
      <c r="B19" s="7" t="s">
        <v>18</v>
      </c>
      <c r="C19" s="8">
        <v>3293.43</v>
      </c>
      <c r="D19" s="1"/>
      <c r="E19" s="1"/>
      <c r="F19" s="37"/>
      <c r="G19" s="37"/>
    </row>
    <row r="20" spans="1:7" ht="15">
      <c r="A20" s="40" t="s">
        <v>65</v>
      </c>
      <c r="B20" s="7" t="s">
        <v>19</v>
      </c>
      <c r="C20" s="8">
        <v>9174.64</v>
      </c>
      <c r="D20" s="1"/>
      <c r="E20" s="1"/>
      <c r="F20" s="37"/>
      <c r="G20" s="37"/>
    </row>
    <row r="21" spans="1:7" ht="15">
      <c r="A21" s="40" t="s">
        <v>66</v>
      </c>
      <c r="B21" s="7" t="s">
        <v>20</v>
      </c>
      <c r="C21" s="8">
        <v>1684.86</v>
      </c>
      <c r="D21" s="1"/>
      <c r="E21" s="1"/>
      <c r="F21" s="37"/>
      <c r="G21" s="37"/>
    </row>
    <row r="22" spans="1:7" ht="15">
      <c r="A22" s="40" t="s">
        <v>67</v>
      </c>
      <c r="B22" s="7" t="s">
        <v>21</v>
      </c>
      <c r="C22" s="8"/>
      <c r="D22" s="1"/>
      <c r="E22" s="1"/>
      <c r="F22" s="37"/>
      <c r="G22" s="37"/>
    </row>
    <row r="23" spans="1:7" ht="15">
      <c r="A23" s="40" t="s">
        <v>68</v>
      </c>
      <c r="B23" s="7" t="s">
        <v>22</v>
      </c>
      <c r="C23" s="8">
        <v>689.06</v>
      </c>
      <c r="D23" s="1"/>
      <c r="E23" s="1"/>
      <c r="F23" s="37"/>
      <c r="G23" s="37"/>
    </row>
    <row r="24" spans="1:7" ht="15">
      <c r="A24" s="40" t="s">
        <v>69</v>
      </c>
      <c r="B24" s="7" t="s">
        <v>23</v>
      </c>
      <c r="C24" s="8">
        <v>2498.32</v>
      </c>
      <c r="D24" s="1"/>
      <c r="E24" s="1"/>
      <c r="F24" s="37"/>
      <c r="G24" s="37"/>
    </row>
    <row r="25" spans="1:7" ht="15">
      <c r="A25" s="40" t="s">
        <v>70</v>
      </c>
      <c r="B25" s="7" t="s">
        <v>24</v>
      </c>
      <c r="C25" s="8">
        <v>6212.53</v>
      </c>
      <c r="D25" s="1"/>
      <c r="E25" s="1"/>
      <c r="F25" s="37"/>
      <c r="G25" s="37"/>
    </row>
    <row r="26" spans="1:7" ht="15">
      <c r="A26" s="40" t="s">
        <v>71</v>
      </c>
      <c r="B26" s="7" t="s">
        <v>25</v>
      </c>
      <c r="C26" s="8">
        <v>15040.13</v>
      </c>
      <c r="D26" s="1"/>
      <c r="E26" s="1"/>
      <c r="F26" s="37"/>
      <c r="G26" s="37"/>
    </row>
    <row r="27" spans="1:7" ht="15">
      <c r="A27" s="40" t="s">
        <v>72</v>
      </c>
      <c r="B27" s="7" t="s">
        <v>26</v>
      </c>
      <c r="C27" s="8">
        <v>1976.66</v>
      </c>
      <c r="D27" s="1"/>
      <c r="E27" s="1"/>
      <c r="F27" s="37"/>
      <c r="G27" s="37"/>
    </row>
    <row r="28" spans="1:7" ht="15">
      <c r="A28" s="40" t="s">
        <v>73</v>
      </c>
      <c r="B28" s="7" t="s">
        <v>27</v>
      </c>
      <c r="C28" s="8">
        <v>1581.53</v>
      </c>
      <c r="D28" s="1"/>
      <c r="E28" s="1"/>
      <c r="F28" s="37"/>
      <c r="G28" s="37"/>
    </row>
    <row r="29" spans="1:7" ht="15">
      <c r="A29" s="40" t="s">
        <v>74</v>
      </c>
      <c r="B29" s="7" t="s">
        <v>28</v>
      </c>
      <c r="C29" s="8">
        <v>28411.68</v>
      </c>
      <c r="D29" s="1"/>
      <c r="E29" s="1"/>
      <c r="F29" s="37"/>
      <c r="G29" s="37"/>
    </row>
    <row r="30" spans="1:7" ht="15">
      <c r="A30" s="40" t="s">
        <v>75</v>
      </c>
      <c r="B30" s="7" t="s">
        <v>29</v>
      </c>
      <c r="C30" s="8">
        <v>8566.75</v>
      </c>
      <c r="D30" s="1"/>
      <c r="E30" s="1"/>
      <c r="F30" s="37"/>
      <c r="G30" s="37"/>
    </row>
    <row r="31" spans="1:7" ht="15">
      <c r="A31" s="40" t="s">
        <v>76</v>
      </c>
      <c r="B31" s="7" t="s">
        <v>30</v>
      </c>
      <c r="C31" s="8">
        <v>3889.72</v>
      </c>
      <c r="D31" s="1"/>
      <c r="E31" s="1"/>
      <c r="F31" s="37"/>
      <c r="G31" s="37"/>
    </row>
    <row r="32" spans="1:7" ht="15">
      <c r="A32" s="40" t="s">
        <v>77</v>
      </c>
      <c r="B32" s="7" t="s">
        <v>31</v>
      </c>
      <c r="C32" s="8">
        <v>4885.94</v>
      </c>
      <c r="D32" s="1"/>
      <c r="E32" s="1"/>
      <c r="F32" s="37"/>
      <c r="G32" s="37"/>
    </row>
    <row r="33" spans="1:7" ht="15">
      <c r="A33" s="40" t="s">
        <v>78</v>
      </c>
      <c r="B33" s="7" t="s">
        <v>32</v>
      </c>
      <c r="C33" s="8">
        <v>17398.49</v>
      </c>
      <c r="D33" s="1"/>
      <c r="E33" s="1"/>
      <c r="F33" s="37"/>
      <c r="G33" s="37"/>
    </row>
    <row r="34" spans="1:7" ht="15">
      <c r="A34" s="40" t="s">
        <v>80</v>
      </c>
      <c r="B34" s="7" t="s">
        <v>33</v>
      </c>
      <c r="C34" s="8">
        <v>6691.68</v>
      </c>
      <c r="D34" s="1"/>
      <c r="E34" s="1"/>
      <c r="F34" s="37"/>
      <c r="G34" s="37"/>
    </row>
    <row r="35" spans="1:7" ht="15">
      <c r="A35" s="40" t="s">
        <v>81</v>
      </c>
      <c r="B35" s="7" t="s">
        <v>34</v>
      </c>
      <c r="C35" s="8"/>
      <c r="D35" s="1"/>
      <c r="E35" s="1"/>
      <c r="F35" s="37"/>
      <c r="G35" s="37"/>
    </row>
    <row r="36" spans="1:7" ht="15">
      <c r="A36" s="40" t="s">
        <v>82</v>
      </c>
      <c r="B36" s="7" t="s">
        <v>87</v>
      </c>
      <c r="C36" s="8">
        <v>177.2</v>
      </c>
      <c r="D36" s="1"/>
      <c r="E36" s="1"/>
      <c r="F36" s="37"/>
      <c r="G36" s="37"/>
    </row>
    <row r="37" spans="1:7" ht="15">
      <c r="A37" s="40" t="s">
        <v>83</v>
      </c>
      <c r="B37" s="7" t="s">
        <v>89</v>
      </c>
      <c r="C37" s="8">
        <v>6088.1</v>
      </c>
      <c r="D37" s="1"/>
      <c r="E37" s="1"/>
      <c r="F37" s="37"/>
      <c r="G37" s="37"/>
    </row>
    <row r="38" spans="1:7" ht="15">
      <c r="A38" s="40" t="s">
        <v>84</v>
      </c>
      <c r="B38" s="7" t="s">
        <v>90</v>
      </c>
      <c r="C38" s="8">
        <v>11643.98</v>
      </c>
      <c r="D38" s="1"/>
      <c r="E38" s="1"/>
      <c r="F38" s="37"/>
      <c r="G38" s="37"/>
    </row>
    <row r="39" spans="1:7" ht="15">
      <c r="A39" s="40" t="s">
        <v>85</v>
      </c>
      <c r="B39" s="7" t="s">
        <v>93</v>
      </c>
      <c r="C39" s="8">
        <v>1632.81</v>
      </c>
      <c r="D39" s="1"/>
      <c r="E39" s="1"/>
      <c r="F39" s="37"/>
      <c r="G39" s="37"/>
    </row>
    <row r="40" spans="1:7" ht="15">
      <c r="A40" s="40" t="s">
        <v>86</v>
      </c>
      <c r="B40" s="7" t="s">
        <v>94</v>
      </c>
      <c r="C40" s="8">
        <v>486.58</v>
      </c>
      <c r="D40" s="1"/>
      <c r="E40" s="1"/>
      <c r="F40" s="37"/>
      <c r="G40" s="37"/>
    </row>
    <row r="41" spans="1:7" ht="15">
      <c r="A41" s="40" t="s">
        <v>91</v>
      </c>
      <c r="B41" s="7" t="s">
        <v>98</v>
      </c>
      <c r="C41" s="8">
        <v>128.45</v>
      </c>
      <c r="D41" s="1"/>
      <c r="E41" s="1"/>
      <c r="F41" s="37"/>
      <c r="G41" s="37"/>
    </row>
    <row r="42" spans="1:7" ht="15">
      <c r="A42" s="52"/>
      <c r="B42" s="7" t="s">
        <v>35</v>
      </c>
      <c r="C42" s="8">
        <f>SUM(C6:C41)</f>
        <v>346499.8899999999</v>
      </c>
      <c r="D42" s="1"/>
      <c r="E42" s="1"/>
      <c r="F42" s="37"/>
      <c r="G42" s="37"/>
    </row>
    <row r="43" spans="1:7" ht="14.25">
      <c r="A43" s="37"/>
      <c r="B43" s="37"/>
      <c r="C43" s="39"/>
      <c r="D43" s="1"/>
      <c r="E43" s="1"/>
      <c r="F43" s="37"/>
      <c r="G43" s="37"/>
    </row>
    <row r="44" spans="1:7" ht="14.25">
      <c r="A44" s="37"/>
      <c r="B44" s="37"/>
      <c r="C44" s="39"/>
      <c r="D44" s="1"/>
      <c r="E44" s="37"/>
      <c r="F44" s="37"/>
      <c r="G44" s="37"/>
    </row>
    <row r="45" ht="12.75">
      <c r="C45" s="3"/>
    </row>
    <row r="46" spans="2:4" ht="12.75">
      <c r="B46" s="3"/>
      <c r="C46" s="3"/>
      <c r="D46" s="5"/>
    </row>
    <row r="47" spans="3:4" ht="12.75">
      <c r="C47" s="3"/>
      <c r="D47" s="3"/>
    </row>
    <row r="48" ht="12.75">
      <c r="D48" s="3"/>
    </row>
    <row r="50" spans="3:4" ht="12.75">
      <c r="C50" s="3"/>
      <c r="D50" s="3"/>
    </row>
    <row r="51" ht="12.75">
      <c r="D51" s="3"/>
    </row>
  </sheetData>
  <mergeCells count="1">
    <mergeCell ref="A3:G3"/>
  </mergeCells>
  <printOptions/>
  <pageMargins left="0.75" right="0.75" top="1" bottom="1" header="0.5" footer="0.5"/>
  <pageSetup horizontalDpi="300" verticalDpi="3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H47"/>
  <sheetViews>
    <sheetView workbookViewId="0" topLeftCell="A1">
      <selection activeCell="E41" sqref="E41"/>
    </sheetView>
  </sheetViews>
  <sheetFormatPr defaultColWidth="9.140625" defaultRowHeight="12.75"/>
  <cols>
    <col min="2" max="2" width="28.8515625" style="0" customWidth="1"/>
    <col min="3" max="3" width="13.7109375" style="0" customWidth="1"/>
  </cols>
  <sheetData>
    <row r="4" spans="1:8" ht="12.75" customHeight="1">
      <c r="A4" s="101" t="s">
        <v>116</v>
      </c>
      <c r="B4" s="101"/>
      <c r="C4" s="101"/>
      <c r="D4" s="101"/>
      <c r="E4" s="101"/>
      <c r="F4" s="101"/>
      <c r="G4" s="101"/>
      <c r="H4" s="101"/>
    </row>
    <row r="5" spans="1:8" ht="14.25">
      <c r="A5" s="37"/>
      <c r="B5" s="37"/>
      <c r="C5" s="37"/>
      <c r="D5" s="42"/>
      <c r="E5" s="37"/>
      <c r="F5" s="37"/>
      <c r="G5" s="37"/>
      <c r="H5" s="37"/>
    </row>
    <row r="6" spans="1:8" ht="30">
      <c r="A6" s="49" t="s">
        <v>0</v>
      </c>
      <c r="B6" s="49" t="s">
        <v>1</v>
      </c>
      <c r="C6" s="50" t="s">
        <v>42</v>
      </c>
      <c r="D6" s="42"/>
      <c r="E6" s="37"/>
      <c r="F6" s="37"/>
      <c r="G6" s="37"/>
      <c r="H6" s="37"/>
    </row>
    <row r="7" spans="1:8" ht="15">
      <c r="A7" s="40" t="s">
        <v>79</v>
      </c>
      <c r="B7" s="7" t="s">
        <v>6</v>
      </c>
      <c r="C7" s="7">
        <v>17157.43</v>
      </c>
      <c r="D7" s="42"/>
      <c r="E7" s="37"/>
      <c r="F7" s="37"/>
      <c r="G7" s="37"/>
      <c r="H7" s="37"/>
    </row>
    <row r="8" spans="1:8" ht="15">
      <c r="A8" s="40" t="s">
        <v>52</v>
      </c>
      <c r="B8" s="7" t="s">
        <v>39</v>
      </c>
      <c r="C8" s="7">
        <v>217.9</v>
      </c>
      <c r="D8" s="42"/>
      <c r="E8" s="37"/>
      <c r="F8" s="37"/>
      <c r="G8" s="37"/>
      <c r="H8" s="37"/>
    </row>
    <row r="9" spans="1:8" ht="15">
      <c r="A9" s="40" t="s">
        <v>53</v>
      </c>
      <c r="B9" s="7" t="s">
        <v>8</v>
      </c>
      <c r="C9" s="7"/>
      <c r="D9" s="42"/>
      <c r="E9" s="37"/>
      <c r="F9" s="37"/>
      <c r="G9" s="37"/>
      <c r="H9" s="37"/>
    </row>
    <row r="10" spans="1:8" ht="15">
      <c r="A10" s="40" t="s">
        <v>54</v>
      </c>
      <c r="B10" s="7" t="s">
        <v>9</v>
      </c>
      <c r="C10" s="7"/>
      <c r="D10" s="42"/>
      <c r="E10" s="37"/>
      <c r="F10" s="37"/>
      <c r="G10" s="37"/>
      <c r="H10" s="37"/>
    </row>
    <row r="11" spans="1:8" ht="15">
      <c r="A11" s="40" t="s">
        <v>55</v>
      </c>
      <c r="B11" s="7" t="s">
        <v>10</v>
      </c>
      <c r="C11" s="7">
        <v>1153.78</v>
      </c>
      <c r="D11" s="42"/>
      <c r="E11" s="37"/>
      <c r="F11" s="37"/>
      <c r="G11" s="37"/>
      <c r="H11" s="37"/>
    </row>
    <row r="12" spans="1:8" ht="15">
      <c r="A12" s="40" t="s">
        <v>56</v>
      </c>
      <c r="B12" s="7" t="s">
        <v>11</v>
      </c>
      <c r="C12" s="7"/>
      <c r="D12" s="42"/>
      <c r="E12" s="37"/>
      <c r="F12" s="37"/>
      <c r="G12" s="37"/>
      <c r="H12" s="37"/>
    </row>
    <row r="13" spans="1:8" ht="15">
      <c r="A13" s="40" t="s">
        <v>57</v>
      </c>
      <c r="B13" s="7" t="s">
        <v>12</v>
      </c>
      <c r="C13" s="7"/>
      <c r="D13" s="42"/>
      <c r="E13" s="37"/>
      <c r="F13" s="37"/>
      <c r="G13" s="37"/>
      <c r="H13" s="37"/>
    </row>
    <row r="14" spans="1:8" ht="15">
      <c r="A14" s="40" t="s">
        <v>58</v>
      </c>
      <c r="B14" s="7" t="s">
        <v>13</v>
      </c>
      <c r="C14" s="7">
        <v>7248.16</v>
      </c>
      <c r="D14" s="42"/>
      <c r="E14" s="37"/>
      <c r="F14" s="37"/>
      <c r="G14" s="37"/>
      <c r="H14" s="37"/>
    </row>
    <row r="15" spans="1:8" ht="15">
      <c r="A15" s="40" t="s">
        <v>59</v>
      </c>
      <c r="B15" s="7" t="s">
        <v>112</v>
      </c>
      <c r="C15" s="7">
        <v>1785.67</v>
      </c>
      <c r="D15" s="42"/>
      <c r="E15" s="37"/>
      <c r="F15" s="37"/>
      <c r="G15" s="37"/>
      <c r="H15" s="37"/>
    </row>
    <row r="16" spans="1:8" ht="15">
      <c r="A16" s="40" t="s">
        <v>60</v>
      </c>
      <c r="B16" s="7" t="s">
        <v>14</v>
      </c>
      <c r="C16" s="7">
        <v>29558.61</v>
      </c>
      <c r="D16" s="42"/>
      <c r="E16" s="37"/>
      <c r="F16" s="37"/>
      <c r="G16" s="37"/>
      <c r="H16" s="37"/>
    </row>
    <row r="17" spans="1:8" ht="15">
      <c r="A17" s="40" t="s">
        <v>61</v>
      </c>
      <c r="B17" s="7" t="s">
        <v>15</v>
      </c>
      <c r="C17" s="7">
        <v>1048.53</v>
      </c>
      <c r="D17" s="42"/>
      <c r="E17" s="37"/>
      <c r="F17" s="37"/>
      <c r="G17" s="37"/>
      <c r="H17" s="37"/>
    </row>
    <row r="18" spans="1:8" ht="15">
      <c r="A18" s="40" t="s">
        <v>62</v>
      </c>
      <c r="B18" s="7" t="s">
        <v>40</v>
      </c>
      <c r="C18" s="7">
        <v>5013.7</v>
      </c>
      <c r="D18" s="42"/>
      <c r="E18" s="37"/>
      <c r="F18" s="37"/>
      <c r="G18" s="37"/>
      <c r="H18" s="37"/>
    </row>
    <row r="19" spans="1:8" ht="15">
      <c r="A19" s="40" t="s">
        <v>63</v>
      </c>
      <c r="B19" s="7" t="s">
        <v>17</v>
      </c>
      <c r="C19" s="7">
        <v>2920.58</v>
      </c>
      <c r="D19" s="42"/>
      <c r="E19" s="37"/>
      <c r="F19" s="37"/>
      <c r="G19" s="37"/>
      <c r="H19" s="37"/>
    </row>
    <row r="20" spans="1:8" ht="15">
      <c r="A20" s="40" t="s">
        <v>64</v>
      </c>
      <c r="B20" s="7" t="s">
        <v>18</v>
      </c>
      <c r="C20" s="7">
        <v>1511.74</v>
      </c>
      <c r="D20" s="42"/>
      <c r="E20" s="37"/>
      <c r="F20" s="37"/>
      <c r="G20" s="37"/>
      <c r="H20" s="37"/>
    </row>
    <row r="21" spans="1:8" ht="15">
      <c r="A21" s="40" t="s">
        <v>65</v>
      </c>
      <c r="B21" s="7" t="s">
        <v>19</v>
      </c>
      <c r="C21" s="7">
        <v>8913.8</v>
      </c>
      <c r="D21" s="42"/>
      <c r="E21" s="37"/>
      <c r="F21" s="37"/>
      <c r="G21" s="37"/>
      <c r="H21" s="37"/>
    </row>
    <row r="22" spans="1:8" ht="15">
      <c r="A22" s="40" t="s">
        <v>66</v>
      </c>
      <c r="B22" s="7" t="s">
        <v>20</v>
      </c>
      <c r="C22" s="7"/>
      <c r="D22" s="42"/>
      <c r="E22" s="37"/>
      <c r="F22" s="37"/>
      <c r="G22" s="37"/>
      <c r="H22" s="37"/>
    </row>
    <row r="23" spans="1:8" ht="15">
      <c r="A23" s="40" t="s">
        <v>67</v>
      </c>
      <c r="B23" s="7" t="s">
        <v>21</v>
      </c>
      <c r="C23" s="7"/>
      <c r="D23" s="42"/>
      <c r="E23" s="37"/>
      <c r="F23" s="37"/>
      <c r="G23" s="37"/>
      <c r="H23" s="37"/>
    </row>
    <row r="24" spans="1:8" ht="15">
      <c r="A24" s="40" t="s">
        <v>68</v>
      </c>
      <c r="B24" s="7" t="s">
        <v>22</v>
      </c>
      <c r="C24" s="7"/>
      <c r="D24" s="42"/>
      <c r="E24" s="37"/>
      <c r="F24" s="37"/>
      <c r="G24" s="37"/>
      <c r="H24" s="37"/>
    </row>
    <row r="25" spans="1:8" ht="15">
      <c r="A25" s="40" t="s">
        <v>69</v>
      </c>
      <c r="B25" s="7" t="s">
        <v>23</v>
      </c>
      <c r="C25" s="7"/>
      <c r="D25" s="42"/>
      <c r="E25" s="37"/>
      <c r="F25" s="37"/>
      <c r="G25" s="37"/>
      <c r="H25" s="37"/>
    </row>
    <row r="26" spans="1:8" ht="15">
      <c r="A26" s="40" t="s">
        <v>70</v>
      </c>
      <c r="B26" s="7" t="s">
        <v>24</v>
      </c>
      <c r="C26" s="7">
        <v>6146.62</v>
      </c>
      <c r="D26" s="42"/>
      <c r="E26" s="37"/>
      <c r="F26" s="37"/>
      <c r="G26" s="37"/>
      <c r="H26" s="37"/>
    </row>
    <row r="27" spans="1:8" ht="15">
      <c r="A27" s="40" t="s">
        <v>71</v>
      </c>
      <c r="B27" s="7" t="s">
        <v>25</v>
      </c>
      <c r="C27" s="7">
        <v>5626.27</v>
      </c>
      <c r="D27" s="42"/>
      <c r="E27" s="37"/>
      <c r="F27" s="37"/>
      <c r="G27" s="37"/>
      <c r="H27" s="37"/>
    </row>
    <row r="28" spans="1:8" ht="15">
      <c r="A28" s="40" t="s">
        <v>72</v>
      </c>
      <c r="B28" s="7" t="s">
        <v>26</v>
      </c>
      <c r="C28" s="7">
        <v>223.23</v>
      </c>
      <c r="D28" s="42"/>
      <c r="E28" s="37"/>
      <c r="F28" s="37"/>
      <c r="G28" s="37"/>
      <c r="H28" s="37"/>
    </row>
    <row r="29" spans="1:8" ht="15">
      <c r="A29" s="40" t="s">
        <v>73</v>
      </c>
      <c r="B29" s="7" t="s">
        <v>27</v>
      </c>
      <c r="C29" s="7">
        <v>873.35</v>
      </c>
      <c r="D29" s="42"/>
      <c r="E29" s="37"/>
      <c r="F29" s="37"/>
      <c r="G29" s="37"/>
      <c r="H29" s="37"/>
    </row>
    <row r="30" spans="1:8" ht="15">
      <c r="A30" s="40" t="s">
        <v>74</v>
      </c>
      <c r="B30" s="7" t="s">
        <v>28</v>
      </c>
      <c r="C30" s="7">
        <v>4814.93</v>
      </c>
      <c r="D30" s="42"/>
      <c r="E30" s="37"/>
      <c r="F30" s="37"/>
      <c r="G30" s="37"/>
      <c r="H30" s="37"/>
    </row>
    <row r="31" spans="1:8" ht="15">
      <c r="A31" s="40" t="s">
        <v>75</v>
      </c>
      <c r="B31" s="7" t="s">
        <v>29</v>
      </c>
      <c r="C31" s="7">
        <v>3160.67</v>
      </c>
      <c r="D31" s="42"/>
      <c r="E31" s="37"/>
      <c r="F31" s="37"/>
      <c r="G31" s="37"/>
      <c r="H31" s="37"/>
    </row>
    <row r="32" spans="1:8" ht="15">
      <c r="A32" s="40" t="s">
        <v>76</v>
      </c>
      <c r="B32" s="7" t="s">
        <v>30</v>
      </c>
      <c r="C32" s="7"/>
      <c r="D32" s="42"/>
      <c r="E32" s="37"/>
      <c r="F32" s="37"/>
      <c r="G32" s="37"/>
      <c r="H32" s="37"/>
    </row>
    <row r="33" spans="1:8" ht="15">
      <c r="A33" s="40" t="s">
        <v>77</v>
      </c>
      <c r="B33" s="7" t="s">
        <v>31</v>
      </c>
      <c r="C33" s="7"/>
      <c r="D33" s="42"/>
      <c r="E33" s="37"/>
      <c r="F33" s="37"/>
      <c r="G33" s="37"/>
      <c r="H33" s="37"/>
    </row>
    <row r="34" spans="1:8" ht="15">
      <c r="A34" s="40" t="s">
        <v>78</v>
      </c>
      <c r="B34" s="7" t="s">
        <v>32</v>
      </c>
      <c r="C34" s="7">
        <v>4209.11</v>
      </c>
      <c r="D34" s="42"/>
      <c r="E34" s="37"/>
      <c r="F34" s="37"/>
      <c r="G34" s="37"/>
      <c r="H34" s="37"/>
    </row>
    <row r="35" spans="1:8" ht="15">
      <c r="A35" s="40" t="s">
        <v>80</v>
      </c>
      <c r="B35" s="7" t="s">
        <v>33</v>
      </c>
      <c r="C35" s="7"/>
      <c r="D35" s="42"/>
      <c r="E35" s="37"/>
      <c r="F35" s="37"/>
      <c r="G35" s="37"/>
      <c r="H35" s="37"/>
    </row>
    <row r="36" spans="1:8" ht="15">
      <c r="A36" s="40" t="s">
        <v>81</v>
      </c>
      <c r="B36" s="7" t="s">
        <v>34</v>
      </c>
      <c r="C36" s="7"/>
      <c r="D36" s="42"/>
      <c r="E36" s="37"/>
      <c r="F36" s="37"/>
      <c r="G36" s="37"/>
      <c r="H36" s="37"/>
    </row>
    <row r="37" spans="1:8" ht="15">
      <c r="A37" s="40" t="s">
        <v>82</v>
      </c>
      <c r="B37" s="7" t="s">
        <v>87</v>
      </c>
      <c r="C37" s="7"/>
      <c r="D37" s="42"/>
      <c r="E37" s="37"/>
      <c r="F37" s="37"/>
      <c r="G37" s="37"/>
      <c r="H37" s="37"/>
    </row>
    <row r="38" spans="1:8" ht="15">
      <c r="A38" s="40" t="s">
        <v>83</v>
      </c>
      <c r="B38" s="7" t="s">
        <v>89</v>
      </c>
      <c r="C38" s="7">
        <v>856.97</v>
      </c>
      <c r="D38" s="42"/>
      <c r="E38" s="37"/>
      <c r="F38" s="37"/>
      <c r="G38" s="37"/>
      <c r="H38" s="37"/>
    </row>
    <row r="39" spans="1:8" ht="15">
      <c r="A39" s="40" t="s">
        <v>84</v>
      </c>
      <c r="B39" s="7" t="s">
        <v>90</v>
      </c>
      <c r="C39" s="7">
        <v>1014.05</v>
      </c>
      <c r="D39" s="42"/>
      <c r="E39" s="37"/>
      <c r="F39" s="37"/>
      <c r="G39" s="37"/>
      <c r="H39" s="37"/>
    </row>
    <row r="40" spans="1:8" ht="15">
      <c r="A40" s="40" t="s">
        <v>85</v>
      </c>
      <c r="B40" s="7" t="s">
        <v>93</v>
      </c>
      <c r="C40" s="7"/>
      <c r="D40" s="42"/>
      <c r="E40" s="37"/>
      <c r="F40" s="37"/>
      <c r="G40" s="37"/>
      <c r="H40" s="37"/>
    </row>
    <row r="41" spans="1:8" ht="15">
      <c r="A41" s="40" t="s">
        <v>86</v>
      </c>
      <c r="B41" s="7" t="s">
        <v>94</v>
      </c>
      <c r="C41" s="7"/>
      <c r="D41" s="42"/>
      <c r="E41" s="37"/>
      <c r="F41" s="37"/>
      <c r="G41" s="37"/>
      <c r="H41" s="37"/>
    </row>
    <row r="42" spans="1:8" ht="15">
      <c r="A42" s="40" t="s">
        <v>91</v>
      </c>
      <c r="B42" s="7" t="s">
        <v>98</v>
      </c>
      <c r="C42" s="7"/>
      <c r="D42" s="42"/>
      <c r="E42" s="37"/>
      <c r="F42" s="37"/>
      <c r="G42" s="37"/>
      <c r="H42" s="37"/>
    </row>
    <row r="43" spans="1:8" ht="15">
      <c r="A43" s="52"/>
      <c r="B43" s="7" t="s">
        <v>35</v>
      </c>
      <c r="C43" s="7">
        <f>SUM(C7:C42)</f>
        <v>103455.10000000002</v>
      </c>
      <c r="D43" s="42"/>
      <c r="E43" s="37"/>
      <c r="F43" s="37"/>
      <c r="G43" s="37"/>
      <c r="H43" s="37"/>
    </row>
    <row r="44" spans="1:8" ht="14.25">
      <c r="A44" s="37"/>
      <c r="B44" s="37"/>
      <c r="C44" s="37"/>
      <c r="D44" s="42"/>
      <c r="E44" s="37"/>
      <c r="F44" s="37"/>
      <c r="G44" s="37"/>
      <c r="H44" s="37"/>
    </row>
    <row r="45" spans="1:8" ht="14.25">
      <c r="A45" s="37"/>
      <c r="B45" s="37"/>
      <c r="C45" s="37"/>
      <c r="D45" s="37"/>
      <c r="E45" s="37"/>
      <c r="F45" s="37"/>
      <c r="G45" s="37"/>
      <c r="H45" s="37"/>
    </row>
    <row r="46" spans="1:8" ht="14.25">
      <c r="A46" s="37"/>
      <c r="B46" s="37"/>
      <c r="C46" s="37"/>
      <c r="D46" s="37"/>
      <c r="E46" s="37"/>
      <c r="F46" s="37"/>
      <c r="G46" s="37"/>
      <c r="H46" s="37"/>
    </row>
    <row r="47" ht="12.75">
      <c r="C47" s="3"/>
    </row>
  </sheetData>
  <mergeCells count="1">
    <mergeCell ref="A4:H4"/>
  </mergeCells>
  <printOptions/>
  <pageMargins left="0.75" right="0.75" top="1" bottom="1" header="0.5" footer="0.5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G44"/>
  <sheetViews>
    <sheetView workbookViewId="0" topLeftCell="A1">
      <selection activeCell="E29" sqref="E29"/>
    </sheetView>
  </sheetViews>
  <sheetFormatPr defaultColWidth="9.140625" defaultRowHeight="12.75"/>
  <cols>
    <col min="2" max="2" width="27.8515625" style="0" customWidth="1"/>
    <col min="3" max="3" width="11.00390625" style="0" customWidth="1"/>
    <col min="4" max="4" width="13.140625" style="0" bestFit="1" customWidth="1"/>
    <col min="5" max="5" width="16.140625" style="0" bestFit="1" customWidth="1"/>
  </cols>
  <sheetData>
    <row r="3" spans="1:7" ht="12.75" customHeight="1">
      <c r="A3" s="101" t="s">
        <v>117</v>
      </c>
      <c r="B3" s="101"/>
      <c r="C3" s="101"/>
      <c r="D3" s="101"/>
      <c r="E3" s="101"/>
      <c r="F3" s="101"/>
      <c r="G3" s="101"/>
    </row>
    <row r="4" spans="1:7" ht="15">
      <c r="A4" s="102"/>
      <c r="B4" s="102"/>
      <c r="C4" s="44" t="s">
        <v>43</v>
      </c>
      <c r="D4" s="1"/>
      <c r="E4" s="37"/>
      <c r="F4" s="37"/>
      <c r="G4" s="37"/>
    </row>
    <row r="5" spans="1:7" ht="15">
      <c r="A5" s="49" t="s">
        <v>0</v>
      </c>
      <c r="B5" s="49" t="s">
        <v>1</v>
      </c>
      <c r="C5" s="50" t="s">
        <v>44</v>
      </c>
      <c r="D5" s="50" t="s">
        <v>45</v>
      </c>
      <c r="E5" s="51" t="s">
        <v>48</v>
      </c>
      <c r="F5" s="37"/>
      <c r="G5" s="37"/>
    </row>
    <row r="6" spans="1:7" ht="15">
      <c r="A6" s="40" t="s">
        <v>79</v>
      </c>
      <c r="B6" s="7" t="s">
        <v>6</v>
      </c>
      <c r="C6" s="6">
        <v>18294.61</v>
      </c>
      <c r="D6" s="6">
        <v>46191.57</v>
      </c>
      <c r="E6" s="8">
        <f>C6+D6</f>
        <v>64486.18</v>
      </c>
      <c r="F6" s="37"/>
      <c r="G6" s="37"/>
    </row>
    <row r="7" spans="1:7" ht="15">
      <c r="A7" s="40" t="s">
        <v>52</v>
      </c>
      <c r="B7" s="7" t="s">
        <v>39</v>
      </c>
      <c r="C7" s="6">
        <f>6443.11+2420.17</f>
        <v>8863.279999999999</v>
      </c>
      <c r="D7" s="6">
        <f>15769.43+2368.73</f>
        <v>18138.16</v>
      </c>
      <c r="E7" s="8">
        <f aca="true" t="shared" si="0" ref="E7:E42">C7+D7</f>
        <v>27001.44</v>
      </c>
      <c r="F7" s="37"/>
      <c r="G7" s="37"/>
    </row>
    <row r="8" spans="1:7" ht="15">
      <c r="A8" s="40" t="s">
        <v>53</v>
      </c>
      <c r="B8" s="7" t="s">
        <v>8</v>
      </c>
      <c r="C8" s="6"/>
      <c r="D8" s="6"/>
      <c r="E8" s="8">
        <f t="shared" si="0"/>
        <v>0</v>
      </c>
      <c r="F8" s="37"/>
      <c r="G8" s="37"/>
    </row>
    <row r="9" spans="1:7" ht="15">
      <c r="A9" s="40" t="s">
        <v>54</v>
      </c>
      <c r="B9" s="7" t="s">
        <v>9</v>
      </c>
      <c r="C9" s="6"/>
      <c r="D9" s="6"/>
      <c r="E9" s="8">
        <f t="shared" si="0"/>
        <v>0</v>
      </c>
      <c r="F9" s="37"/>
      <c r="G9" s="37"/>
    </row>
    <row r="10" spans="1:7" ht="15">
      <c r="A10" s="40" t="s">
        <v>55</v>
      </c>
      <c r="B10" s="7" t="s">
        <v>10</v>
      </c>
      <c r="C10" s="6">
        <v>1589.06</v>
      </c>
      <c r="D10" s="6">
        <v>4136.74</v>
      </c>
      <c r="E10" s="8">
        <f t="shared" si="0"/>
        <v>5725.799999999999</v>
      </c>
      <c r="F10" s="37"/>
      <c r="G10" s="37"/>
    </row>
    <row r="11" spans="1:7" ht="15">
      <c r="A11" s="40" t="s">
        <v>56</v>
      </c>
      <c r="B11" s="7" t="s">
        <v>11</v>
      </c>
      <c r="C11" s="6">
        <v>1289.47</v>
      </c>
      <c r="D11" s="6">
        <v>5524.04</v>
      </c>
      <c r="E11" s="8">
        <f t="shared" si="0"/>
        <v>6813.51</v>
      </c>
      <c r="F11" s="37"/>
      <c r="G11" s="37"/>
    </row>
    <row r="12" spans="1:7" ht="15">
      <c r="A12" s="40" t="s">
        <v>57</v>
      </c>
      <c r="B12" s="7" t="s">
        <v>12</v>
      </c>
      <c r="C12" s="6"/>
      <c r="D12" s="6"/>
      <c r="E12" s="8">
        <f t="shared" si="0"/>
        <v>0</v>
      </c>
      <c r="F12" s="37"/>
      <c r="G12" s="37"/>
    </row>
    <row r="13" spans="1:7" ht="15">
      <c r="A13" s="40" t="s">
        <v>58</v>
      </c>
      <c r="B13" s="7" t="s">
        <v>13</v>
      </c>
      <c r="C13" s="6">
        <f>5063.3+3235.24+1437.08</f>
        <v>9735.62</v>
      </c>
      <c r="D13" s="6">
        <f>18845.79+6994.71+4996.77</f>
        <v>30837.27</v>
      </c>
      <c r="E13" s="8">
        <f t="shared" si="0"/>
        <v>40572.89</v>
      </c>
      <c r="F13" s="37"/>
      <c r="G13" s="37"/>
    </row>
    <row r="14" spans="1:7" ht="15">
      <c r="A14" s="40" t="s">
        <v>59</v>
      </c>
      <c r="B14" s="7" t="s">
        <v>112</v>
      </c>
      <c r="C14" s="6">
        <f>2653.98+4656.49+500.83+1177.77+348.57+128.07</f>
        <v>9465.71</v>
      </c>
      <c r="D14" s="6">
        <f>4015.19+6509.84+966.23+1017.23+1528.56+733.71</f>
        <v>14770.759999999998</v>
      </c>
      <c r="E14" s="8">
        <f t="shared" si="0"/>
        <v>24236.469999999998</v>
      </c>
      <c r="F14" s="37"/>
      <c r="G14" s="37"/>
    </row>
    <row r="15" spans="1:7" ht="15">
      <c r="A15" s="40" t="s">
        <v>60</v>
      </c>
      <c r="B15" s="7" t="s">
        <v>14</v>
      </c>
      <c r="C15" s="6">
        <v>31925.96</v>
      </c>
      <c r="D15" s="6">
        <v>76388.19</v>
      </c>
      <c r="E15" s="8">
        <f t="shared" si="0"/>
        <v>108314.15</v>
      </c>
      <c r="F15" s="37"/>
      <c r="G15" s="37"/>
    </row>
    <row r="16" spans="1:7" ht="15">
      <c r="A16" s="40" t="s">
        <v>61</v>
      </c>
      <c r="B16" s="7" t="s">
        <v>15</v>
      </c>
      <c r="C16" s="6">
        <f>9299.52+1136.68</f>
        <v>10436.2</v>
      </c>
      <c r="D16" s="6">
        <f>24452.11+3084.79</f>
        <v>27536.9</v>
      </c>
      <c r="E16" s="8">
        <f t="shared" si="0"/>
        <v>37973.100000000006</v>
      </c>
      <c r="F16" s="37"/>
      <c r="G16" s="37"/>
    </row>
    <row r="17" spans="1:7" ht="15">
      <c r="A17" s="40" t="s">
        <v>62</v>
      </c>
      <c r="B17" s="7" t="s">
        <v>40</v>
      </c>
      <c r="C17" s="6">
        <f>2495.36+1126.38+4071.13</f>
        <v>7692.870000000001</v>
      </c>
      <c r="D17" s="6">
        <f>7015.54+5495.38+12313.33</f>
        <v>24824.25</v>
      </c>
      <c r="E17" s="8">
        <f t="shared" si="0"/>
        <v>32517.120000000003</v>
      </c>
      <c r="F17" s="37"/>
      <c r="G17" s="37"/>
    </row>
    <row r="18" spans="1:7" ht="15">
      <c r="A18" s="40" t="s">
        <v>63</v>
      </c>
      <c r="B18" s="7" t="s">
        <v>17</v>
      </c>
      <c r="C18" s="6">
        <v>4888.38</v>
      </c>
      <c r="D18" s="6">
        <v>17376.5</v>
      </c>
      <c r="E18" s="8">
        <f t="shared" si="0"/>
        <v>22264.88</v>
      </c>
      <c r="F18" s="37"/>
      <c r="G18" s="37"/>
    </row>
    <row r="19" spans="1:7" ht="15">
      <c r="A19" s="40" t="s">
        <v>64</v>
      </c>
      <c r="B19" s="7" t="s">
        <v>18</v>
      </c>
      <c r="C19" s="6">
        <v>1826.41</v>
      </c>
      <c r="D19" s="6">
        <v>7099.85</v>
      </c>
      <c r="E19" s="8">
        <f t="shared" si="0"/>
        <v>8926.26</v>
      </c>
      <c r="F19" s="37"/>
      <c r="G19" s="37"/>
    </row>
    <row r="20" spans="1:7" ht="15">
      <c r="A20" s="40" t="s">
        <v>65</v>
      </c>
      <c r="B20" s="7" t="s">
        <v>19</v>
      </c>
      <c r="C20" s="6">
        <v>4671.37</v>
      </c>
      <c r="D20" s="6">
        <v>15311.79</v>
      </c>
      <c r="E20" s="8">
        <f t="shared" si="0"/>
        <v>19983.16</v>
      </c>
      <c r="F20" s="37"/>
      <c r="G20" s="37"/>
    </row>
    <row r="21" spans="1:7" ht="15">
      <c r="A21" s="40" t="s">
        <v>66</v>
      </c>
      <c r="B21" s="7" t="s">
        <v>20</v>
      </c>
      <c r="C21" s="6"/>
      <c r="D21" s="6"/>
      <c r="E21" s="8">
        <f t="shared" si="0"/>
        <v>0</v>
      </c>
      <c r="F21" s="37"/>
      <c r="G21" s="37"/>
    </row>
    <row r="22" spans="1:7" ht="15">
      <c r="A22" s="40" t="s">
        <v>67</v>
      </c>
      <c r="B22" s="7" t="s">
        <v>21</v>
      </c>
      <c r="C22" s="6"/>
      <c r="D22" s="6"/>
      <c r="E22" s="8">
        <f t="shared" si="0"/>
        <v>0</v>
      </c>
      <c r="F22" s="37"/>
      <c r="G22" s="37"/>
    </row>
    <row r="23" spans="1:7" ht="15">
      <c r="A23" s="40" t="s">
        <v>68</v>
      </c>
      <c r="B23" s="7" t="s">
        <v>22</v>
      </c>
      <c r="C23" s="6"/>
      <c r="D23" s="6"/>
      <c r="E23" s="8">
        <f t="shared" si="0"/>
        <v>0</v>
      </c>
      <c r="F23" s="37"/>
      <c r="G23" s="37"/>
    </row>
    <row r="24" spans="1:7" ht="15">
      <c r="A24" s="40" t="s">
        <v>69</v>
      </c>
      <c r="B24" s="7" t="s">
        <v>23</v>
      </c>
      <c r="C24" s="6"/>
      <c r="D24" s="6"/>
      <c r="E24" s="8">
        <f t="shared" si="0"/>
        <v>0</v>
      </c>
      <c r="F24" s="37"/>
      <c r="G24" s="37"/>
    </row>
    <row r="25" spans="1:7" ht="15">
      <c r="A25" s="40" t="s">
        <v>70</v>
      </c>
      <c r="B25" s="7" t="s">
        <v>24</v>
      </c>
      <c r="C25" s="6">
        <v>3437.99</v>
      </c>
      <c r="D25" s="6">
        <v>11644.94</v>
      </c>
      <c r="E25" s="8">
        <f t="shared" si="0"/>
        <v>15082.93</v>
      </c>
      <c r="F25" s="37"/>
      <c r="G25" s="37"/>
    </row>
    <row r="26" spans="1:7" ht="15">
      <c r="A26" s="40" t="s">
        <v>71</v>
      </c>
      <c r="B26" s="7" t="s">
        <v>25</v>
      </c>
      <c r="C26" s="6">
        <f>4758.42+235.09+3401.21+182.52</f>
        <v>8577.240000000002</v>
      </c>
      <c r="D26" s="6">
        <f>9131.73+1956.45+6312.55+1435.9</f>
        <v>18836.63</v>
      </c>
      <c r="E26" s="8">
        <f t="shared" si="0"/>
        <v>27413.870000000003</v>
      </c>
      <c r="F26" s="37"/>
      <c r="G26" s="37"/>
    </row>
    <row r="27" spans="1:7" ht="15">
      <c r="A27" s="40" t="s">
        <v>72</v>
      </c>
      <c r="B27" s="7" t="s">
        <v>26</v>
      </c>
      <c r="C27" s="6">
        <v>182.52</v>
      </c>
      <c r="D27" s="6">
        <v>1220.82</v>
      </c>
      <c r="E27" s="8">
        <f t="shared" si="0"/>
        <v>1403.34</v>
      </c>
      <c r="F27" s="37"/>
      <c r="G27" s="37"/>
    </row>
    <row r="28" spans="1:7" ht="15">
      <c r="A28" s="40" t="s">
        <v>73</v>
      </c>
      <c r="B28" s="7" t="s">
        <v>27</v>
      </c>
      <c r="C28" s="6"/>
      <c r="D28" s="6"/>
      <c r="E28" s="8">
        <f t="shared" si="0"/>
        <v>0</v>
      </c>
      <c r="F28" s="37"/>
      <c r="G28" s="37"/>
    </row>
    <row r="29" spans="1:7" ht="15">
      <c r="A29" s="40" t="s">
        <v>74</v>
      </c>
      <c r="B29" s="7" t="s">
        <v>28</v>
      </c>
      <c r="C29" s="6">
        <f>5518.93+1508.91+425.86</f>
        <v>7453.7</v>
      </c>
      <c r="D29" s="6">
        <f>11527.49+2428.36+700.88</f>
        <v>14656.73</v>
      </c>
      <c r="E29" s="8">
        <f t="shared" si="0"/>
        <v>22110.43</v>
      </c>
      <c r="F29" s="37"/>
      <c r="G29" s="37"/>
    </row>
    <row r="30" spans="1:7" ht="15">
      <c r="A30" s="40" t="s">
        <v>75</v>
      </c>
      <c r="B30" s="7" t="s">
        <v>29</v>
      </c>
      <c r="C30" s="6">
        <v>3451.94</v>
      </c>
      <c r="D30" s="6">
        <v>11908.46</v>
      </c>
      <c r="E30" s="8">
        <f t="shared" si="0"/>
        <v>15360.4</v>
      </c>
      <c r="F30" s="37"/>
      <c r="G30" s="37"/>
    </row>
    <row r="31" spans="1:7" ht="15">
      <c r="A31" s="40" t="s">
        <v>76</v>
      </c>
      <c r="B31" s="7" t="s">
        <v>30</v>
      </c>
      <c r="C31" s="6">
        <f>1552.01+147.43</f>
        <v>1699.44</v>
      </c>
      <c r="D31" s="6">
        <f>5671.97+1023.71</f>
        <v>6695.68</v>
      </c>
      <c r="E31" s="8">
        <f t="shared" si="0"/>
        <v>8395.12</v>
      </c>
      <c r="F31" s="37"/>
      <c r="G31" s="37"/>
    </row>
    <row r="32" spans="1:7" ht="15">
      <c r="A32" s="40" t="s">
        <v>77</v>
      </c>
      <c r="B32" s="7" t="s">
        <v>31</v>
      </c>
      <c r="C32" s="6"/>
      <c r="D32" s="6"/>
      <c r="E32" s="8">
        <f t="shared" si="0"/>
        <v>0</v>
      </c>
      <c r="F32" s="37"/>
      <c r="G32" s="37"/>
    </row>
    <row r="33" spans="1:7" ht="15">
      <c r="A33" s="40" t="s">
        <v>78</v>
      </c>
      <c r="B33" s="7" t="s">
        <v>32</v>
      </c>
      <c r="C33" s="6">
        <f>1379.98+346.08+1671.98</f>
        <v>3398.04</v>
      </c>
      <c r="D33" s="6">
        <f>5401.76+4275.16+3219.68</f>
        <v>12896.6</v>
      </c>
      <c r="E33" s="8">
        <f t="shared" si="0"/>
        <v>16294.64</v>
      </c>
      <c r="F33" s="37"/>
      <c r="G33" s="37"/>
    </row>
    <row r="34" spans="1:7" ht="15">
      <c r="A34" s="40" t="s">
        <v>80</v>
      </c>
      <c r="B34" s="7" t="s">
        <v>33</v>
      </c>
      <c r="C34" s="6"/>
      <c r="D34" s="6"/>
      <c r="E34" s="8">
        <f t="shared" si="0"/>
        <v>0</v>
      </c>
      <c r="F34" s="37"/>
      <c r="G34" s="37"/>
    </row>
    <row r="35" spans="1:7" ht="15">
      <c r="A35" s="40" t="s">
        <v>81</v>
      </c>
      <c r="B35" s="7" t="s">
        <v>34</v>
      </c>
      <c r="C35" s="6"/>
      <c r="D35" s="6"/>
      <c r="E35" s="8">
        <f t="shared" si="0"/>
        <v>0</v>
      </c>
      <c r="F35" s="37"/>
      <c r="G35" s="37"/>
    </row>
    <row r="36" spans="1:7" ht="15">
      <c r="A36" s="40" t="s">
        <v>82</v>
      </c>
      <c r="B36" s="7" t="s">
        <v>87</v>
      </c>
      <c r="C36" s="6">
        <v>347.43</v>
      </c>
      <c r="D36" s="6">
        <v>551.59</v>
      </c>
      <c r="E36" s="8">
        <f t="shared" si="0"/>
        <v>899.02</v>
      </c>
      <c r="F36" s="37"/>
      <c r="G36" s="37"/>
    </row>
    <row r="37" spans="1:7" ht="15">
      <c r="A37" s="40" t="s">
        <v>83</v>
      </c>
      <c r="B37" s="7" t="s">
        <v>89</v>
      </c>
      <c r="C37" s="6">
        <f>2218.89+182.52+981.42</f>
        <v>3382.83</v>
      </c>
      <c r="D37" s="6">
        <f>7444.52+1023.71+2502.41</f>
        <v>10970.64</v>
      </c>
      <c r="E37" s="8">
        <f t="shared" si="0"/>
        <v>14353.47</v>
      </c>
      <c r="F37" s="37"/>
      <c r="G37" s="37"/>
    </row>
    <row r="38" spans="1:7" ht="15">
      <c r="A38" s="40" t="s">
        <v>84</v>
      </c>
      <c r="B38" s="7" t="s">
        <v>90</v>
      </c>
      <c r="C38" s="6">
        <v>11643.17</v>
      </c>
      <c r="D38" s="6">
        <v>34597.47</v>
      </c>
      <c r="E38" s="8">
        <f t="shared" si="0"/>
        <v>46240.64</v>
      </c>
      <c r="F38" s="37"/>
      <c r="G38" s="37"/>
    </row>
    <row r="39" spans="1:7" ht="15">
      <c r="A39" s="40" t="s">
        <v>85</v>
      </c>
      <c r="B39" s="7" t="s">
        <v>93</v>
      </c>
      <c r="C39" s="6">
        <v>494.88</v>
      </c>
      <c r="D39" s="6">
        <v>505.63</v>
      </c>
      <c r="E39" s="8">
        <f t="shared" si="0"/>
        <v>1000.51</v>
      </c>
      <c r="F39" s="37"/>
      <c r="G39" s="37"/>
    </row>
    <row r="40" spans="1:7" ht="15">
      <c r="A40" s="40" t="s">
        <v>86</v>
      </c>
      <c r="B40" s="7" t="s">
        <v>94</v>
      </c>
      <c r="C40" s="6"/>
      <c r="D40" s="6"/>
      <c r="E40" s="8">
        <f t="shared" si="0"/>
        <v>0</v>
      </c>
      <c r="F40" s="37"/>
      <c r="G40" s="37"/>
    </row>
    <row r="41" spans="1:7" ht="15">
      <c r="A41" s="40" t="s">
        <v>91</v>
      </c>
      <c r="B41" s="7" t="s">
        <v>98</v>
      </c>
      <c r="C41" s="6"/>
      <c r="D41" s="6"/>
      <c r="E41" s="8">
        <f t="shared" si="0"/>
        <v>0</v>
      </c>
      <c r="F41" s="37"/>
      <c r="G41" s="37"/>
    </row>
    <row r="42" spans="1:7" ht="15">
      <c r="A42" s="52"/>
      <c r="B42" s="7" t="s">
        <v>35</v>
      </c>
      <c r="C42" s="7">
        <f>SUM(C6:C41)</f>
        <v>154748.12</v>
      </c>
      <c r="D42" s="7">
        <f>SUM(D6:D41)</f>
        <v>412621.20999999996</v>
      </c>
      <c r="E42" s="8">
        <f t="shared" si="0"/>
        <v>567369.33</v>
      </c>
      <c r="F42" s="37"/>
      <c r="G42" s="37"/>
    </row>
    <row r="43" spans="1:7" ht="14.25">
      <c r="A43" s="37"/>
      <c r="B43" s="37"/>
      <c r="C43" s="37"/>
      <c r="D43" s="37"/>
      <c r="E43" s="1"/>
      <c r="F43" s="37"/>
      <c r="G43" s="37"/>
    </row>
    <row r="44" spans="1:7" ht="14.25">
      <c r="A44" s="37"/>
      <c r="B44" s="37"/>
      <c r="C44" s="37"/>
      <c r="D44" s="37"/>
      <c r="E44" s="37"/>
      <c r="F44" s="37"/>
      <c r="G44" s="37"/>
    </row>
  </sheetData>
  <mergeCells count="2">
    <mergeCell ref="A4:B4"/>
    <mergeCell ref="A3:G3"/>
  </mergeCells>
  <printOptions/>
  <pageMargins left="0.75" right="0.75" top="1" bottom="1" header="0.5" footer="0.5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44"/>
  <sheetViews>
    <sheetView workbookViewId="0" topLeftCell="A1">
      <selection activeCell="K37" sqref="K37"/>
    </sheetView>
  </sheetViews>
  <sheetFormatPr defaultColWidth="9.140625" defaultRowHeight="12.75"/>
  <cols>
    <col min="2" max="2" width="28.28125" style="0" customWidth="1"/>
    <col min="3" max="3" width="14.140625" style="0" bestFit="1" customWidth="1"/>
    <col min="4" max="4" width="13.421875" style="0" bestFit="1" customWidth="1"/>
  </cols>
  <sheetData>
    <row r="3" spans="1:6" ht="15">
      <c r="A3" s="100" t="s">
        <v>118</v>
      </c>
      <c r="B3" s="100"/>
      <c r="C3" s="100"/>
      <c r="D3" s="100"/>
      <c r="E3" s="100"/>
      <c r="F3" s="100"/>
    </row>
    <row r="4" spans="1:6" ht="15">
      <c r="A4" s="103"/>
      <c r="B4" s="103"/>
      <c r="C4" s="103"/>
      <c r="D4" s="103"/>
      <c r="E4" s="103"/>
      <c r="F4" s="37"/>
    </row>
    <row r="5" spans="1:6" ht="14.25">
      <c r="A5" s="102"/>
      <c r="B5" s="102"/>
      <c r="C5" s="37"/>
      <c r="D5" s="37"/>
      <c r="E5" s="37"/>
      <c r="F5" s="37"/>
    </row>
    <row r="6" spans="1:6" ht="15">
      <c r="A6" s="49" t="s">
        <v>0</v>
      </c>
      <c r="B6" s="49" t="s">
        <v>1</v>
      </c>
      <c r="C6" s="50" t="s">
        <v>46</v>
      </c>
      <c r="D6" s="50" t="s">
        <v>47</v>
      </c>
      <c r="E6" s="37"/>
      <c r="F6" s="37"/>
    </row>
    <row r="7" spans="1:6" ht="15">
      <c r="A7" s="40" t="s">
        <v>79</v>
      </c>
      <c r="B7" s="7" t="s">
        <v>6</v>
      </c>
      <c r="C7" s="53">
        <v>12720</v>
      </c>
      <c r="D7" s="7">
        <v>1440</v>
      </c>
      <c r="E7" s="37"/>
      <c r="F7" s="37"/>
    </row>
    <row r="8" spans="1:6" ht="15">
      <c r="A8" s="40" t="s">
        <v>52</v>
      </c>
      <c r="B8" s="7" t="s">
        <v>39</v>
      </c>
      <c r="C8" s="53">
        <v>3240</v>
      </c>
      <c r="D8" s="7"/>
      <c r="E8" s="37"/>
      <c r="F8" s="37"/>
    </row>
    <row r="9" spans="1:6" ht="15">
      <c r="A9" s="40" t="s">
        <v>53</v>
      </c>
      <c r="B9" s="7" t="s">
        <v>8</v>
      </c>
      <c r="C9" s="53"/>
      <c r="D9" s="7"/>
      <c r="E9" s="37"/>
      <c r="F9" s="37"/>
    </row>
    <row r="10" spans="1:6" ht="15">
      <c r="A10" s="40" t="s">
        <v>54</v>
      </c>
      <c r="B10" s="7" t="s">
        <v>9</v>
      </c>
      <c r="C10" s="53"/>
      <c r="D10" s="7"/>
      <c r="E10" s="37"/>
      <c r="F10" s="37"/>
    </row>
    <row r="11" spans="1:6" ht="15">
      <c r="A11" s="40" t="s">
        <v>55</v>
      </c>
      <c r="B11" s="7" t="s">
        <v>10</v>
      </c>
      <c r="C11" s="53">
        <v>840</v>
      </c>
      <c r="D11" s="7"/>
      <c r="E11" s="37"/>
      <c r="F11" s="37"/>
    </row>
    <row r="12" spans="1:6" ht="15">
      <c r="A12" s="40" t="s">
        <v>56</v>
      </c>
      <c r="B12" s="7" t="s">
        <v>11</v>
      </c>
      <c r="C12" s="53">
        <v>720</v>
      </c>
      <c r="D12" s="7"/>
      <c r="E12" s="37"/>
      <c r="F12" s="37"/>
    </row>
    <row r="13" spans="1:6" ht="15">
      <c r="A13" s="40" t="s">
        <v>57</v>
      </c>
      <c r="B13" s="7" t="s">
        <v>12</v>
      </c>
      <c r="C13" s="53"/>
      <c r="D13" s="7"/>
      <c r="E13" s="37"/>
      <c r="F13" s="37"/>
    </row>
    <row r="14" spans="1:6" ht="15">
      <c r="A14" s="40" t="s">
        <v>58</v>
      </c>
      <c r="B14" s="7" t="s">
        <v>13</v>
      </c>
      <c r="C14" s="53">
        <v>6960</v>
      </c>
      <c r="D14" s="7">
        <v>720</v>
      </c>
      <c r="E14" s="37"/>
      <c r="F14" s="37"/>
    </row>
    <row r="15" spans="1:6" ht="15">
      <c r="A15" s="40" t="s">
        <v>59</v>
      </c>
      <c r="B15" s="7" t="s">
        <v>112</v>
      </c>
      <c r="C15" s="53">
        <v>3480</v>
      </c>
      <c r="D15" s="7"/>
      <c r="E15" s="37"/>
      <c r="F15" s="37"/>
    </row>
    <row r="16" spans="1:6" ht="15">
      <c r="A16" s="40" t="s">
        <v>60</v>
      </c>
      <c r="B16" s="7" t="s">
        <v>14</v>
      </c>
      <c r="C16" s="53">
        <v>15360</v>
      </c>
      <c r="D16" s="7">
        <v>5280</v>
      </c>
      <c r="E16" s="37"/>
      <c r="F16" s="37"/>
    </row>
    <row r="17" spans="1:6" ht="15">
      <c r="A17" s="40" t="s">
        <v>61</v>
      </c>
      <c r="B17" s="7" t="s">
        <v>15</v>
      </c>
      <c r="C17" s="53">
        <v>4440</v>
      </c>
      <c r="D17" s="7"/>
      <c r="E17" s="37"/>
      <c r="F17" s="37"/>
    </row>
    <row r="18" spans="1:6" ht="15">
      <c r="A18" s="40" t="s">
        <v>62</v>
      </c>
      <c r="B18" s="7" t="s">
        <v>40</v>
      </c>
      <c r="C18" s="53">
        <v>6600</v>
      </c>
      <c r="D18" s="7"/>
      <c r="E18" s="37"/>
      <c r="F18" s="37"/>
    </row>
    <row r="19" spans="1:6" ht="15">
      <c r="A19" s="40" t="s">
        <v>63</v>
      </c>
      <c r="B19" s="7" t="s">
        <v>17</v>
      </c>
      <c r="C19" s="53">
        <v>3216</v>
      </c>
      <c r="D19" s="7"/>
      <c r="E19" s="37"/>
      <c r="F19" s="37"/>
    </row>
    <row r="20" spans="1:6" ht="15">
      <c r="A20" s="40" t="s">
        <v>64</v>
      </c>
      <c r="B20" s="7" t="s">
        <v>18</v>
      </c>
      <c r="C20" s="53">
        <v>1800</v>
      </c>
      <c r="D20" s="7"/>
      <c r="E20" s="37"/>
      <c r="F20" s="37"/>
    </row>
    <row r="21" spans="1:6" ht="15">
      <c r="A21" s="40" t="s">
        <v>65</v>
      </c>
      <c r="B21" s="7" t="s">
        <v>19</v>
      </c>
      <c r="C21" s="53">
        <v>4680</v>
      </c>
      <c r="D21" s="7"/>
      <c r="E21" s="37"/>
      <c r="F21" s="37"/>
    </row>
    <row r="22" spans="1:6" ht="15">
      <c r="A22" s="40" t="s">
        <v>66</v>
      </c>
      <c r="B22" s="7" t="s">
        <v>20</v>
      </c>
      <c r="C22" s="53"/>
      <c r="D22" s="7"/>
      <c r="E22" s="37"/>
      <c r="F22" s="37"/>
    </row>
    <row r="23" spans="1:6" ht="15">
      <c r="A23" s="40" t="s">
        <v>67</v>
      </c>
      <c r="B23" s="7" t="s">
        <v>21</v>
      </c>
      <c r="C23" s="53"/>
      <c r="D23" s="7"/>
      <c r="E23" s="37"/>
      <c r="F23" s="37"/>
    </row>
    <row r="24" spans="1:6" ht="15">
      <c r="A24" s="40" t="s">
        <v>68</v>
      </c>
      <c r="B24" s="7" t="s">
        <v>22</v>
      </c>
      <c r="C24" s="53"/>
      <c r="D24" s="7"/>
      <c r="E24" s="37"/>
      <c r="F24" s="37"/>
    </row>
    <row r="25" spans="1:6" ht="15">
      <c r="A25" s="40" t="s">
        <v>69</v>
      </c>
      <c r="B25" s="7" t="s">
        <v>23</v>
      </c>
      <c r="C25" s="53"/>
      <c r="D25" s="7"/>
      <c r="E25" s="37"/>
      <c r="F25" s="37"/>
    </row>
    <row r="26" spans="1:6" ht="15">
      <c r="A26" s="40" t="s">
        <v>70</v>
      </c>
      <c r="B26" s="7" t="s">
        <v>24</v>
      </c>
      <c r="C26" s="53">
        <v>4080</v>
      </c>
      <c r="D26" s="7"/>
      <c r="E26" s="37"/>
      <c r="F26" s="37"/>
    </row>
    <row r="27" spans="1:6" ht="15">
      <c r="A27" s="40" t="s">
        <v>71</v>
      </c>
      <c r="B27" s="7" t="s">
        <v>25</v>
      </c>
      <c r="C27" s="53">
        <v>4440</v>
      </c>
      <c r="D27" s="7">
        <v>960</v>
      </c>
      <c r="E27" s="37"/>
      <c r="F27" s="37"/>
    </row>
    <row r="28" spans="1:6" ht="15">
      <c r="A28" s="40" t="s">
        <v>72</v>
      </c>
      <c r="B28" s="7" t="s">
        <v>26</v>
      </c>
      <c r="C28" s="53">
        <v>360</v>
      </c>
      <c r="D28" s="7"/>
      <c r="E28" s="37"/>
      <c r="F28" s="37"/>
    </row>
    <row r="29" spans="1:6" ht="15">
      <c r="A29" s="40" t="s">
        <v>73</v>
      </c>
      <c r="B29" s="7" t="s">
        <v>27</v>
      </c>
      <c r="C29" s="53">
        <v>120</v>
      </c>
      <c r="D29" s="7"/>
      <c r="E29" s="37"/>
      <c r="F29" s="37"/>
    </row>
    <row r="30" spans="1:6" ht="15">
      <c r="A30" s="40" t="s">
        <v>74</v>
      </c>
      <c r="B30" s="7" t="s">
        <v>28</v>
      </c>
      <c r="C30" s="53">
        <v>4680</v>
      </c>
      <c r="D30" s="7"/>
      <c r="E30" s="37"/>
      <c r="F30" s="37"/>
    </row>
    <row r="31" spans="1:6" ht="15">
      <c r="A31" s="40" t="s">
        <v>75</v>
      </c>
      <c r="B31" s="7" t="s">
        <v>29</v>
      </c>
      <c r="C31" s="53">
        <v>2640</v>
      </c>
      <c r="D31" s="7">
        <v>960</v>
      </c>
      <c r="E31" s="37"/>
      <c r="F31" s="37"/>
    </row>
    <row r="32" spans="1:6" ht="15">
      <c r="A32" s="40" t="s">
        <v>76</v>
      </c>
      <c r="B32" s="7" t="s">
        <v>30</v>
      </c>
      <c r="C32" s="53">
        <v>1080</v>
      </c>
      <c r="D32" s="7"/>
      <c r="E32" s="37"/>
      <c r="F32" s="37"/>
    </row>
    <row r="33" spans="1:6" ht="15">
      <c r="A33" s="40" t="s">
        <v>77</v>
      </c>
      <c r="B33" s="7" t="s">
        <v>31</v>
      </c>
      <c r="C33" s="53"/>
      <c r="D33" s="7"/>
      <c r="E33" s="37"/>
      <c r="F33" s="37"/>
    </row>
    <row r="34" spans="1:6" ht="15">
      <c r="A34" s="40" t="s">
        <v>78</v>
      </c>
      <c r="B34" s="7" t="s">
        <v>32</v>
      </c>
      <c r="C34" s="53">
        <v>3720</v>
      </c>
      <c r="D34" s="7"/>
      <c r="E34" s="37"/>
      <c r="F34" s="37"/>
    </row>
    <row r="35" spans="1:6" ht="15">
      <c r="A35" s="40" t="s">
        <v>80</v>
      </c>
      <c r="B35" s="7" t="s">
        <v>33</v>
      </c>
      <c r="C35" s="53"/>
      <c r="D35" s="7"/>
      <c r="E35" s="37"/>
      <c r="F35" s="37"/>
    </row>
    <row r="36" spans="1:6" ht="15">
      <c r="A36" s="40" t="s">
        <v>81</v>
      </c>
      <c r="B36" s="7" t="s">
        <v>34</v>
      </c>
      <c r="C36" s="53"/>
      <c r="D36" s="7"/>
      <c r="E36" s="37"/>
      <c r="F36" s="37"/>
    </row>
    <row r="37" spans="1:6" ht="15">
      <c r="A37" s="40" t="s">
        <v>82</v>
      </c>
      <c r="B37" s="7" t="s">
        <v>87</v>
      </c>
      <c r="C37" s="53">
        <v>120</v>
      </c>
      <c r="D37" s="7"/>
      <c r="E37" s="37"/>
      <c r="F37" s="37"/>
    </row>
    <row r="38" spans="1:6" ht="15">
      <c r="A38" s="40" t="s">
        <v>83</v>
      </c>
      <c r="B38" s="7" t="s">
        <v>89</v>
      </c>
      <c r="C38" s="53">
        <v>2280</v>
      </c>
      <c r="D38" s="7">
        <v>480</v>
      </c>
      <c r="E38" s="37"/>
      <c r="F38" s="37"/>
    </row>
    <row r="39" spans="1:6" ht="15">
      <c r="A39" s="40" t="s">
        <v>84</v>
      </c>
      <c r="B39" s="7" t="s">
        <v>90</v>
      </c>
      <c r="C39" s="53">
        <v>5640</v>
      </c>
      <c r="D39" s="7"/>
      <c r="E39" s="37"/>
      <c r="F39" s="37"/>
    </row>
    <row r="40" spans="1:6" ht="15">
      <c r="A40" s="40" t="s">
        <v>85</v>
      </c>
      <c r="B40" s="7" t="s">
        <v>93</v>
      </c>
      <c r="C40" s="53">
        <v>240</v>
      </c>
      <c r="D40" s="6"/>
      <c r="E40" s="37"/>
      <c r="F40" s="37"/>
    </row>
    <row r="41" spans="1:6" ht="15">
      <c r="A41" s="40" t="s">
        <v>86</v>
      </c>
      <c r="B41" s="7" t="s">
        <v>94</v>
      </c>
      <c r="C41" s="53"/>
      <c r="D41" s="6"/>
      <c r="E41" s="37"/>
      <c r="F41" s="37"/>
    </row>
    <row r="42" spans="1:6" ht="15">
      <c r="A42" s="40" t="s">
        <v>91</v>
      </c>
      <c r="B42" s="7" t="s">
        <v>98</v>
      </c>
      <c r="C42" s="53"/>
      <c r="D42" s="6"/>
      <c r="E42" s="37"/>
      <c r="F42" s="37"/>
    </row>
    <row r="43" spans="1:6" ht="15">
      <c r="A43" s="52"/>
      <c r="B43" s="7" t="s">
        <v>35</v>
      </c>
      <c r="C43" s="53">
        <f>SUM(C7:C42)</f>
        <v>93456</v>
      </c>
      <c r="D43" s="53">
        <f>SUM(D7:D42)</f>
        <v>9840</v>
      </c>
      <c r="E43" s="1"/>
      <c r="F43" s="37"/>
    </row>
    <row r="44" spans="1:6" ht="14.25">
      <c r="A44" s="37"/>
      <c r="B44" s="37"/>
      <c r="C44" s="1"/>
      <c r="D44" s="37"/>
      <c r="E44" s="37"/>
      <c r="F44" s="37"/>
    </row>
  </sheetData>
  <mergeCells count="3">
    <mergeCell ref="A4:E4"/>
    <mergeCell ref="A5:B5"/>
    <mergeCell ref="A3:F3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47"/>
  <sheetViews>
    <sheetView view="pageBreakPreview" zoomScale="60" workbookViewId="0" topLeftCell="A1">
      <selection activeCell="C34" sqref="C34"/>
    </sheetView>
  </sheetViews>
  <sheetFormatPr defaultColWidth="9.140625" defaultRowHeight="12.75"/>
  <cols>
    <col min="2" max="2" width="36.8515625" style="0" bestFit="1" customWidth="1"/>
    <col min="3" max="3" width="16.8515625" style="0" customWidth="1"/>
  </cols>
  <sheetData>
    <row r="2" spans="1:5" ht="12.75">
      <c r="A2" s="89"/>
      <c r="B2" s="89"/>
      <c r="C2" s="89"/>
      <c r="D2" s="89"/>
      <c r="E2" s="89"/>
    </row>
    <row r="3" spans="1:5" ht="15">
      <c r="A3" s="90" t="s">
        <v>119</v>
      </c>
      <c r="B3" s="90"/>
      <c r="C3" s="90"/>
      <c r="D3" s="90"/>
      <c r="E3" s="90"/>
    </row>
    <row r="4" spans="1:5" ht="14.25">
      <c r="A4" s="37"/>
      <c r="B4" s="37"/>
      <c r="C4" s="39"/>
      <c r="D4" s="1"/>
      <c r="E4" s="1"/>
    </row>
    <row r="5" spans="1:5" ht="30">
      <c r="A5" s="49" t="s">
        <v>0</v>
      </c>
      <c r="B5" s="49" t="s">
        <v>1</v>
      </c>
      <c r="C5" s="51" t="s">
        <v>110</v>
      </c>
      <c r="D5" s="45"/>
      <c r="E5" s="12"/>
    </row>
    <row r="6" spans="1:5" ht="15">
      <c r="A6" s="40" t="s">
        <v>79</v>
      </c>
      <c r="B6" s="7" t="s">
        <v>6</v>
      </c>
      <c r="C6" s="8">
        <v>21672.18</v>
      </c>
      <c r="D6" s="46"/>
      <c r="E6" s="12"/>
    </row>
    <row r="7" spans="1:5" ht="15">
      <c r="A7" s="40" t="s">
        <v>52</v>
      </c>
      <c r="B7" s="7" t="s">
        <v>39</v>
      </c>
      <c r="C7" s="8"/>
      <c r="D7" s="46"/>
      <c r="E7" s="12"/>
    </row>
    <row r="8" spans="1:5" ht="15">
      <c r="A8" s="40" t="s">
        <v>53</v>
      </c>
      <c r="B8" s="7" t="s">
        <v>8</v>
      </c>
      <c r="C8" s="8"/>
      <c r="D8" s="46"/>
      <c r="E8" s="12"/>
    </row>
    <row r="9" spans="1:5" ht="15">
      <c r="A9" s="40" t="s">
        <v>54</v>
      </c>
      <c r="B9" s="7" t="s">
        <v>9</v>
      </c>
      <c r="C9" s="8"/>
      <c r="D9" s="46"/>
      <c r="E9" s="12"/>
    </row>
    <row r="10" spans="1:5" ht="15">
      <c r="A10" s="40" t="s">
        <v>55</v>
      </c>
      <c r="B10" s="7" t="s">
        <v>10</v>
      </c>
      <c r="C10" s="8"/>
      <c r="D10" s="46"/>
      <c r="E10" s="12"/>
    </row>
    <row r="11" spans="1:5" ht="15">
      <c r="A11" s="40" t="s">
        <v>56</v>
      </c>
      <c r="B11" s="7" t="s">
        <v>11</v>
      </c>
      <c r="C11" s="8"/>
      <c r="D11" s="46"/>
      <c r="E11" s="12"/>
    </row>
    <row r="12" spans="1:5" ht="15">
      <c r="A12" s="40" t="s">
        <v>57</v>
      </c>
      <c r="B12" s="7" t="s">
        <v>12</v>
      </c>
      <c r="C12" s="8"/>
      <c r="D12" s="46"/>
      <c r="E12" s="12"/>
    </row>
    <row r="13" spans="1:5" ht="15">
      <c r="A13" s="40" t="s">
        <v>58</v>
      </c>
      <c r="B13" s="7" t="s">
        <v>13</v>
      </c>
      <c r="C13" s="8"/>
      <c r="D13" s="46"/>
      <c r="E13" s="12"/>
    </row>
    <row r="14" spans="1:5" ht="15">
      <c r="A14" s="40" t="s">
        <v>59</v>
      </c>
      <c r="B14" s="7" t="s">
        <v>112</v>
      </c>
      <c r="C14" s="8"/>
      <c r="D14" s="46"/>
      <c r="E14" s="12"/>
    </row>
    <row r="15" spans="1:5" ht="15">
      <c r="A15" s="40" t="s">
        <v>60</v>
      </c>
      <c r="B15" s="7" t="s">
        <v>14</v>
      </c>
      <c r="C15" s="8">
        <v>37846.2</v>
      </c>
      <c r="D15" s="46"/>
      <c r="E15" s="12"/>
    </row>
    <row r="16" spans="1:5" ht="15">
      <c r="A16" s="40" t="s">
        <v>61</v>
      </c>
      <c r="B16" s="7" t="s">
        <v>15</v>
      </c>
      <c r="C16" s="8">
        <v>13426.33</v>
      </c>
      <c r="D16" s="46"/>
      <c r="E16" s="12"/>
    </row>
    <row r="17" spans="1:5" ht="15">
      <c r="A17" s="40" t="s">
        <v>62</v>
      </c>
      <c r="B17" s="7" t="s">
        <v>40</v>
      </c>
      <c r="C17" s="8"/>
      <c r="D17" s="46"/>
      <c r="E17" s="12"/>
    </row>
    <row r="18" spans="1:5" ht="15">
      <c r="A18" s="40" t="s">
        <v>63</v>
      </c>
      <c r="B18" s="7" t="s">
        <v>17</v>
      </c>
      <c r="C18" s="8"/>
      <c r="D18" s="46"/>
      <c r="E18" s="12"/>
    </row>
    <row r="19" spans="1:5" ht="15">
      <c r="A19" s="40" t="s">
        <v>64</v>
      </c>
      <c r="B19" s="7" t="s">
        <v>18</v>
      </c>
      <c r="C19" s="8"/>
      <c r="D19" s="46"/>
      <c r="E19" s="12"/>
    </row>
    <row r="20" spans="1:5" ht="15">
      <c r="A20" s="40" t="s">
        <v>65</v>
      </c>
      <c r="B20" s="7" t="s">
        <v>19</v>
      </c>
      <c r="C20" s="8"/>
      <c r="D20" s="46"/>
      <c r="E20" s="12"/>
    </row>
    <row r="21" spans="1:5" ht="15">
      <c r="A21" s="40" t="s">
        <v>66</v>
      </c>
      <c r="B21" s="7" t="s">
        <v>20</v>
      </c>
      <c r="C21" s="8"/>
      <c r="D21" s="46"/>
      <c r="E21" s="12"/>
    </row>
    <row r="22" spans="1:5" ht="15">
      <c r="A22" s="40" t="s">
        <v>67</v>
      </c>
      <c r="B22" s="7" t="s">
        <v>21</v>
      </c>
      <c r="C22" s="8"/>
      <c r="D22" s="46"/>
      <c r="E22" s="12"/>
    </row>
    <row r="23" spans="1:5" ht="15">
      <c r="A23" s="40" t="s">
        <v>68</v>
      </c>
      <c r="B23" s="7" t="s">
        <v>22</v>
      </c>
      <c r="C23" s="8"/>
      <c r="D23" s="46"/>
      <c r="E23" s="12"/>
    </row>
    <row r="24" spans="1:5" ht="15">
      <c r="A24" s="40" t="s">
        <v>69</v>
      </c>
      <c r="B24" s="7" t="s">
        <v>23</v>
      </c>
      <c r="C24" s="8"/>
      <c r="D24" s="46"/>
      <c r="E24" s="12"/>
    </row>
    <row r="25" spans="1:5" ht="15">
      <c r="A25" s="40" t="s">
        <v>70</v>
      </c>
      <c r="B25" s="7" t="s">
        <v>24</v>
      </c>
      <c r="C25" s="8"/>
      <c r="D25" s="46"/>
      <c r="E25" s="12"/>
    </row>
    <row r="26" spans="1:5" ht="15">
      <c r="A26" s="40" t="s">
        <v>71</v>
      </c>
      <c r="B26" s="7" t="s">
        <v>25</v>
      </c>
      <c r="C26" s="8">
        <v>13426.33</v>
      </c>
      <c r="D26" s="46"/>
      <c r="E26" s="12"/>
    </row>
    <row r="27" spans="1:5" ht="15">
      <c r="A27" s="40" t="s">
        <v>72</v>
      </c>
      <c r="B27" s="7" t="s">
        <v>26</v>
      </c>
      <c r="C27" s="8"/>
      <c r="D27" s="46"/>
      <c r="E27" s="12"/>
    </row>
    <row r="28" spans="1:5" ht="15">
      <c r="A28" s="40" t="s">
        <v>73</v>
      </c>
      <c r="B28" s="7" t="s">
        <v>27</v>
      </c>
      <c r="C28" s="8"/>
      <c r="D28" s="46"/>
      <c r="E28" s="12"/>
    </row>
    <row r="29" spans="1:5" ht="15">
      <c r="A29" s="40" t="s">
        <v>74</v>
      </c>
      <c r="B29" s="7" t="s">
        <v>28</v>
      </c>
      <c r="C29" s="8"/>
      <c r="D29" s="46"/>
      <c r="E29" s="12"/>
    </row>
    <row r="30" spans="1:5" ht="15">
      <c r="A30" s="40" t="s">
        <v>75</v>
      </c>
      <c r="B30" s="7" t="s">
        <v>29</v>
      </c>
      <c r="C30" s="8">
        <v>14853.25</v>
      </c>
      <c r="D30" s="46"/>
      <c r="E30" s="12"/>
    </row>
    <row r="31" spans="1:5" ht="15">
      <c r="A31" s="40" t="s">
        <v>76</v>
      </c>
      <c r="B31" s="7" t="s">
        <v>30</v>
      </c>
      <c r="C31" s="8"/>
      <c r="D31" s="46"/>
      <c r="E31" s="12"/>
    </row>
    <row r="32" spans="1:5" ht="15">
      <c r="A32" s="40" t="s">
        <v>77</v>
      </c>
      <c r="B32" s="7" t="s">
        <v>31</v>
      </c>
      <c r="C32" s="8"/>
      <c r="D32" s="46"/>
      <c r="E32" s="12"/>
    </row>
    <row r="33" spans="1:5" ht="15">
      <c r="A33" s="40" t="s">
        <v>78</v>
      </c>
      <c r="B33" s="7" t="s">
        <v>32</v>
      </c>
      <c r="C33" s="8">
        <v>14853.26</v>
      </c>
      <c r="D33" s="46"/>
      <c r="E33" s="12"/>
    </row>
    <row r="34" spans="1:5" ht="15">
      <c r="A34" s="40" t="s">
        <v>80</v>
      </c>
      <c r="B34" s="7" t="s">
        <v>33</v>
      </c>
      <c r="C34" s="8">
        <v>14853.26</v>
      </c>
      <c r="D34" s="46"/>
      <c r="E34" s="12"/>
    </row>
    <row r="35" spans="1:5" ht="15">
      <c r="A35" s="40" t="s">
        <v>81</v>
      </c>
      <c r="B35" s="7" t="s">
        <v>34</v>
      </c>
      <c r="C35" s="8"/>
      <c r="D35" s="46"/>
      <c r="E35" s="12"/>
    </row>
    <row r="36" spans="1:5" ht="15">
      <c r="A36" s="40" t="s">
        <v>82</v>
      </c>
      <c r="B36" s="7" t="s">
        <v>87</v>
      </c>
      <c r="C36" s="8"/>
      <c r="D36" s="46"/>
      <c r="E36" s="12"/>
    </row>
    <row r="37" spans="1:5" ht="15">
      <c r="A37" s="40" t="s">
        <v>83</v>
      </c>
      <c r="B37" s="7" t="s">
        <v>89</v>
      </c>
      <c r="C37" s="8"/>
      <c r="D37" s="46"/>
      <c r="E37" s="12"/>
    </row>
    <row r="38" spans="1:5" ht="15">
      <c r="A38" s="40" t="s">
        <v>84</v>
      </c>
      <c r="B38" s="7" t="s">
        <v>90</v>
      </c>
      <c r="C38" s="8"/>
      <c r="D38" s="46"/>
      <c r="E38" s="12"/>
    </row>
    <row r="39" spans="1:5" ht="15">
      <c r="A39" s="40" t="s">
        <v>85</v>
      </c>
      <c r="B39" s="7" t="s">
        <v>93</v>
      </c>
      <c r="C39" s="8"/>
      <c r="D39" s="46"/>
      <c r="E39" s="12"/>
    </row>
    <row r="40" spans="1:5" ht="15">
      <c r="A40" s="40" t="s">
        <v>86</v>
      </c>
      <c r="B40" s="58" t="s">
        <v>94</v>
      </c>
      <c r="C40" s="8"/>
      <c r="D40" s="46"/>
      <c r="E40" s="12"/>
    </row>
    <row r="41" spans="1:5" ht="15.75" thickBot="1">
      <c r="A41" s="40" t="s">
        <v>91</v>
      </c>
      <c r="B41" s="58" t="s">
        <v>98</v>
      </c>
      <c r="C41" s="57"/>
      <c r="D41" s="46"/>
      <c r="E41" s="12"/>
    </row>
    <row r="42" spans="1:5" ht="15.75" thickBot="1">
      <c r="A42" s="54"/>
      <c r="B42" s="55" t="s">
        <v>35</v>
      </c>
      <c r="C42" s="56">
        <f>SUM(C6:C41)</f>
        <v>130930.80999999998</v>
      </c>
      <c r="D42" s="12"/>
      <c r="E42" s="12"/>
    </row>
    <row r="43" spans="1:5" ht="14.25">
      <c r="A43" s="37"/>
      <c r="B43" s="37"/>
      <c r="C43" s="39"/>
      <c r="D43" s="1"/>
      <c r="E43" s="1"/>
    </row>
    <row r="44" spans="1:5" ht="14.25">
      <c r="A44" s="37"/>
      <c r="B44" s="37"/>
      <c r="C44" s="92"/>
      <c r="D44" s="1"/>
      <c r="E44" s="1"/>
    </row>
    <row r="45" spans="1:5" ht="14.25">
      <c r="A45" s="37"/>
      <c r="B45" s="37"/>
      <c r="C45" s="37"/>
      <c r="D45" s="37"/>
      <c r="E45" s="37"/>
    </row>
    <row r="46" spans="1:5" ht="14.25">
      <c r="A46" s="37"/>
      <c r="B46" s="37"/>
      <c r="C46" s="37"/>
      <c r="D46" s="37"/>
      <c r="E46" s="37"/>
    </row>
    <row r="47" spans="1:5" ht="14.25">
      <c r="A47" s="37"/>
      <c r="B47" s="37"/>
      <c r="C47" s="37"/>
      <c r="D47" s="37"/>
      <c r="E47" s="37"/>
    </row>
  </sheetData>
  <printOptions/>
  <pageMargins left="0.75" right="0.75" top="1" bottom="1" header="0.5" footer="0.5"/>
  <pageSetup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E47"/>
  <sheetViews>
    <sheetView workbookViewId="0" topLeftCell="A1">
      <selection activeCell="C30" sqref="C30"/>
    </sheetView>
  </sheetViews>
  <sheetFormatPr defaultColWidth="9.140625" defaultRowHeight="12.75"/>
  <cols>
    <col min="2" max="2" width="28.8515625" style="0" customWidth="1"/>
    <col min="3" max="3" width="16.28125" style="0" customWidth="1"/>
    <col min="5" max="5" width="29.00390625" style="0" customWidth="1"/>
  </cols>
  <sheetData>
    <row r="3" spans="1:5" ht="15">
      <c r="A3" s="104" t="s">
        <v>120</v>
      </c>
      <c r="B3" s="104"/>
      <c r="C3" s="104"/>
      <c r="D3" s="104"/>
      <c r="E3" s="104"/>
    </row>
    <row r="4" spans="1:5" ht="14.25">
      <c r="A4" s="37"/>
      <c r="B4" s="37"/>
      <c r="C4" s="39"/>
      <c r="D4" s="1"/>
      <c r="E4" s="1"/>
    </row>
    <row r="5" spans="1:5" ht="30">
      <c r="A5" s="49" t="s">
        <v>0</v>
      </c>
      <c r="B5" s="49" t="s">
        <v>1</v>
      </c>
      <c r="C5" s="51" t="s">
        <v>49</v>
      </c>
      <c r="D5" s="45"/>
      <c r="E5" s="12"/>
    </row>
    <row r="6" spans="1:5" ht="15">
      <c r="A6" s="40" t="s">
        <v>79</v>
      </c>
      <c r="B6" s="7" t="s">
        <v>6</v>
      </c>
      <c r="C6" s="8">
        <v>43581.58</v>
      </c>
      <c r="D6" s="46"/>
      <c r="E6" s="12"/>
    </row>
    <row r="7" spans="1:5" ht="15">
      <c r="A7" s="40" t="s">
        <v>52</v>
      </c>
      <c r="B7" s="7" t="s">
        <v>39</v>
      </c>
      <c r="C7" s="8"/>
      <c r="D7" s="46"/>
      <c r="E7" s="12"/>
    </row>
    <row r="8" spans="1:5" ht="15">
      <c r="A8" s="40" t="s">
        <v>53</v>
      </c>
      <c r="B8" s="7" t="s">
        <v>8</v>
      </c>
      <c r="C8" s="8">
        <v>134.88</v>
      </c>
      <c r="D8" s="46"/>
      <c r="E8" s="12"/>
    </row>
    <row r="9" spans="1:5" ht="15">
      <c r="A9" s="40" t="s">
        <v>54</v>
      </c>
      <c r="B9" s="7" t="s">
        <v>9</v>
      </c>
      <c r="C9" s="8"/>
      <c r="D9" s="46"/>
      <c r="E9" s="12"/>
    </row>
    <row r="10" spans="1:5" ht="15">
      <c r="A10" s="40" t="s">
        <v>55</v>
      </c>
      <c r="B10" s="7" t="s">
        <v>10</v>
      </c>
      <c r="C10" s="8">
        <v>603.74</v>
      </c>
      <c r="D10" s="46"/>
      <c r="E10" s="12"/>
    </row>
    <row r="11" spans="1:5" ht="15">
      <c r="A11" s="40" t="s">
        <v>56</v>
      </c>
      <c r="B11" s="7" t="s">
        <v>11</v>
      </c>
      <c r="C11" s="8">
        <v>1361.77</v>
      </c>
      <c r="D11" s="46"/>
      <c r="E11" s="12"/>
    </row>
    <row r="12" spans="1:5" ht="15">
      <c r="A12" s="40" t="s">
        <v>57</v>
      </c>
      <c r="B12" s="7" t="s">
        <v>12</v>
      </c>
      <c r="C12" s="8"/>
      <c r="D12" s="46"/>
      <c r="E12" s="12"/>
    </row>
    <row r="13" spans="1:5" ht="15">
      <c r="A13" s="40" t="s">
        <v>58</v>
      </c>
      <c r="B13" s="7" t="s">
        <v>13</v>
      </c>
      <c r="C13" s="8">
        <v>27136.69</v>
      </c>
      <c r="D13" s="46"/>
      <c r="E13" s="12"/>
    </row>
    <row r="14" spans="1:5" ht="15">
      <c r="A14" s="40" t="s">
        <v>59</v>
      </c>
      <c r="B14" s="7" t="s">
        <v>112</v>
      </c>
      <c r="C14" s="8">
        <v>2735.68</v>
      </c>
      <c r="D14" s="46"/>
      <c r="E14" s="12"/>
    </row>
    <row r="15" spans="1:5" ht="15">
      <c r="A15" s="40" t="s">
        <v>60</v>
      </c>
      <c r="B15" s="7" t="s">
        <v>14</v>
      </c>
      <c r="C15" s="8">
        <v>74805.56</v>
      </c>
      <c r="D15" s="46"/>
      <c r="E15" s="12"/>
    </row>
    <row r="16" spans="1:5" ht="15">
      <c r="A16" s="40" t="s">
        <v>61</v>
      </c>
      <c r="B16" s="7" t="s">
        <v>15</v>
      </c>
      <c r="C16" s="8"/>
      <c r="D16" s="46"/>
      <c r="E16" s="12"/>
    </row>
    <row r="17" spans="1:5" ht="15">
      <c r="A17" s="40" t="s">
        <v>62</v>
      </c>
      <c r="B17" s="7" t="s">
        <v>40</v>
      </c>
      <c r="C17" s="8">
        <v>16912.48</v>
      </c>
      <c r="D17" s="46"/>
      <c r="E17" s="12"/>
    </row>
    <row r="18" spans="1:5" ht="15">
      <c r="A18" s="40" t="s">
        <v>63</v>
      </c>
      <c r="B18" s="7" t="s">
        <v>17</v>
      </c>
      <c r="C18" s="8">
        <v>298.75</v>
      </c>
      <c r="D18" s="46"/>
      <c r="E18" s="12"/>
    </row>
    <row r="19" spans="1:5" ht="15">
      <c r="A19" s="40" t="s">
        <v>64</v>
      </c>
      <c r="B19" s="7" t="s">
        <v>18</v>
      </c>
      <c r="C19" s="8"/>
      <c r="D19" s="46"/>
      <c r="E19" s="12"/>
    </row>
    <row r="20" spans="1:5" ht="15">
      <c r="A20" s="40" t="s">
        <v>65</v>
      </c>
      <c r="B20" s="7" t="s">
        <v>19</v>
      </c>
      <c r="C20" s="8">
        <v>11234.47</v>
      </c>
      <c r="D20" s="46"/>
      <c r="E20" s="12"/>
    </row>
    <row r="21" spans="1:5" ht="15">
      <c r="A21" s="40" t="s">
        <v>66</v>
      </c>
      <c r="B21" s="7" t="s">
        <v>20</v>
      </c>
      <c r="C21" s="8">
        <v>4498.8</v>
      </c>
      <c r="D21" s="46"/>
      <c r="E21" s="12"/>
    </row>
    <row r="22" spans="1:5" ht="15">
      <c r="A22" s="40" t="s">
        <v>67</v>
      </c>
      <c r="B22" s="7" t="s">
        <v>21</v>
      </c>
      <c r="C22" s="8"/>
      <c r="D22" s="46"/>
      <c r="E22" s="12"/>
    </row>
    <row r="23" spans="1:5" ht="15">
      <c r="A23" s="40" t="s">
        <v>68</v>
      </c>
      <c r="B23" s="7" t="s">
        <v>22</v>
      </c>
      <c r="C23" s="8"/>
      <c r="D23" s="46"/>
      <c r="E23" s="12"/>
    </row>
    <row r="24" spans="1:5" ht="15">
      <c r="A24" s="40" t="s">
        <v>69</v>
      </c>
      <c r="B24" s="7" t="s">
        <v>23</v>
      </c>
      <c r="C24" s="8"/>
      <c r="D24" s="46"/>
      <c r="E24" s="12"/>
    </row>
    <row r="25" spans="1:5" ht="15">
      <c r="A25" s="40" t="s">
        <v>70</v>
      </c>
      <c r="B25" s="7" t="s">
        <v>24</v>
      </c>
      <c r="C25" s="8"/>
      <c r="D25" s="46"/>
      <c r="E25" s="12"/>
    </row>
    <row r="26" spans="1:5" ht="15">
      <c r="A26" s="40" t="s">
        <v>71</v>
      </c>
      <c r="B26" s="7" t="s">
        <v>25</v>
      </c>
      <c r="C26" s="8">
        <v>16052</v>
      </c>
      <c r="D26" s="46"/>
      <c r="E26" s="12"/>
    </row>
    <row r="27" spans="1:5" ht="15">
      <c r="A27" s="40" t="s">
        <v>72</v>
      </c>
      <c r="B27" s="7" t="s">
        <v>26</v>
      </c>
      <c r="C27" s="8"/>
      <c r="D27" s="46"/>
      <c r="E27" s="12"/>
    </row>
    <row r="28" spans="1:5" ht="15">
      <c r="A28" s="40" t="s">
        <v>73</v>
      </c>
      <c r="B28" s="7" t="s">
        <v>27</v>
      </c>
      <c r="C28" s="8"/>
      <c r="D28" s="46"/>
      <c r="E28" s="12"/>
    </row>
    <row r="29" spans="1:5" ht="15">
      <c r="A29" s="40" t="s">
        <v>74</v>
      </c>
      <c r="B29" s="7" t="s">
        <v>28</v>
      </c>
      <c r="C29" s="8">
        <v>147102.01</v>
      </c>
      <c r="D29" s="46"/>
      <c r="E29" s="12"/>
    </row>
    <row r="30" spans="1:5" ht="15">
      <c r="A30" s="40" t="s">
        <v>75</v>
      </c>
      <c r="B30" s="7" t="s">
        <v>29</v>
      </c>
      <c r="C30" s="8"/>
      <c r="D30" s="46"/>
      <c r="E30" s="12"/>
    </row>
    <row r="31" spans="1:5" ht="15">
      <c r="A31" s="40" t="s">
        <v>76</v>
      </c>
      <c r="B31" s="7" t="s">
        <v>30</v>
      </c>
      <c r="C31" s="8"/>
      <c r="D31" s="46"/>
      <c r="E31" s="12"/>
    </row>
    <row r="32" spans="1:5" ht="15">
      <c r="A32" s="40" t="s">
        <v>77</v>
      </c>
      <c r="B32" s="7" t="s">
        <v>31</v>
      </c>
      <c r="C32" s="8"/>
      <c r="D32" s="46"/>
      <c r="E32" s="12"/>
    </row>
    <row r="33" spans="1:5" ht="15">
      <c r="A33" s="40" t="s">
        <v>78</v>
      </c>
      <c r="B33" s="7" t="s">
        <v>32</v>
      </c>
      <c r="C33" s="8">
        <v>16198.45</v>
      </c>
      <c r="D33" s="46"/>
      <c r="E33" s="12"/>
    </row>
    <row r="34" spans="1:5" ht="15">
      <c r="A34" s="40" t="s">
        <v>80</v>
      </c>
      <c r="B34" s="7" t="s">
        <v>33</v>
      </c>
      <c r="C34" s="8"/>
      <c r="D34" s="46"/>
      <c r="E34" s="12"/>
    </row>
    <row r="35" spans="1:5" ht="15">
      <c r="A35" s="40" t="s">
        <v>81</v>
      </c>
      <c r="B35" s="7" t="s">
        <v>34</v>
      </c>
      <c r="C35" s="8"/>
      <c r="D35" s="46"/>
      <c r="E35" s="12"/>
    </row>
    <row r="36" spans="1:5" ht="15">
      <c r="A36" s="40" t="s">
        <v>82</v>
      </c>
      <c r="B36" s="7" t="s">
        <v>87</v>
      </c>
      <c r="C36" s="8"/>
      <c r="D36" s="46"/>
      <c r="E36" s="12"/>
    </row>
    <row r="37" spans="1:5" ht="15">
      <c r="A37" s="40" t="s">
        <v>83</v>
      </c>
      <c r="B37" s="7" t="s">
        <v>89</v>
      </c>
      <c r="C37" s="8"/>
      <c r="D37" s="46"/>
      <c r="E37" s="12"/>
    </row>
    <row r="38" spans="1:5" ht="15">
      <c r="A38" s="40" t="s">
        <v>84</v>
      </c>
      <c r="B38" s="7" t="s">
        <v>90</v>
      </c>
      <c r="C38" s="8">
        <v>87.14</v>
      </c>
      <c r="D38" s="46"/>
      <c r="E38" s="12"/>
    </row>
    <row r="39" spans="1:5" ht="15">
      <c r="A39" s="40" t="s">
        <v>85</v>
      </c>
      <c r="B39" s="7" t="s">
        <v>93</v>
      </c>
      <c r="C39" s="8"/>
      <c r="D39" s="46"/>
      <c r="E39" s="12"/>
    </row>
    <row r="40" spans="1:5" ht="15">
      <c r="A40" s="40" t="s">
        <v>86</v>
      </c>
      <c r="B40" s="7" t="s">
        <v>94</v>
      </c>
      <c r="C40" s="8"/>
      <c r="D40" s="46"/>
      <c r="E40" s="12"/>
    </row>
    <row r="41" spans="1:5" ht="15.75" thickBot="1">
      <c r="A41" s="40" t="s">
        <v>91</v>
      </c>
      <c r="B41" s="7" t="s">
        <v>98</v>
      </c>
      <c r="C41" s="57"/>
      <c r="D41" s="46"/>
      <c r="E41" s="12"/>
    </row>
    <row r="42" spans="1:5" ht="15.75" thickBot="1">
      <c r="A42" s="54"/>
      <c r="B42" s="55" t="s">
        <v>35</v>
      </c>
      <c r="C42" s="56">
        <f>SUM(C6:C41)</f>
        <v>362744</v>
      </c>
      <c r="D42" s="12"/>
      <c r="E42" s="12"/>
    </row>
    <row r="43" spans="1:5" ht="14.25">
      <c r="A43" s="37"/>
      <c r="B43" s="37"/>
      <c r="C43" s="92"/>
      <c r="D43" s="1"/>
      <c r="E43" s="1"/>
    </row>
    <row r="44" spans="1:5" ht="14.25">
      <c r="A44" s="37"/>
      <c r="B44" s="37"/>
      <c r="C44" s="39"/>
      <c r="D44" s="1"/>
      <c r="E44" s="1"/>
    </row>
    <row r="45" spans="1:5" ht="14.25">
      <c r="A45" s="37"/>
      <c r="B45" s="37"/>
      <c r="C45" s="37"/>
      <c r="D45" s="37"/>
      <c r="E45" s="37"/>
    </row>
    <row r="46" spans="1:5" ht="14.25">
      <c r="A46" s="37"/>
      <c r="B46" s="37"/>
      <c r="C46" s="37"/>
      <c r="D46" s="37"/>
      <c r="E46" s="37"/>
    </row>
    <row r="47" spans="1:5" ht="14.25">
      <c r="A47" s="37"/>
      <c r="B47" s="37"/>
      <c r="C47" s="37"/>
      <c r="D47" s="37"/>
      <c r="E47" s="37"/>
    </row>
  </sheetData>
  <mergeCells count="1">
    <mergeCell ref="A3:E3"/>
  </mergeCells>
  <printOptions/>
  <pageMargins left="0.75" right="0.75" top="1" bottom="1" header="0.5" footer="0.5"/>
  <pageSetup horizontalDpi="300" verticalDpi="300" orientation="portrait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I45"/>
  <sheetViews>
    <sheetView workbookViewId="0" topLeftCell="A1">
      <selection activeCell="C16" sqref="C16"/>
    </sheetView>
  </sheetViews>
  <sheetFormatPr defaultColWidth="9.140625" defaultRowHeight="12.75"/>
  <cols>
    <col min="2" max="2" width="27.8515625" style="0" customWidth="1"/>
    <col min="3" max="3" width="15.28125" style="0" customWidth="1"/>
  </cols>
  <sheetData>
    <row r="3" spans="1:9" ht="15">
      <c r="A3" s="100" t="s">
        <v>121</v>
      </c>
      <c r="B3" s="100"/>
      <c r="C3" s="100"/>
      <c r="D3" s="100"/>
      <c r="E3" s="100"/>
      <c r="F3" s="100"/>
      <c r="G3" s="100"/>
      <c r="H3" s="100"/>
      <c r="I3" s="100"/>
    </row>
    <row r="4" spans="1:9" ht="14.25">
      <c r="A4" s="102"/>
      <c r="B4" s="102"/>
      <c r="C4" s="102"/>
      <c r="D4" s="43"/>
      <c r="E4" s="37"/>
      <c r="F4" s="37"/>
      <c r="G4" s="37"/>
      <c r="H4" s="37"/>
      <c r="I4" s="37"/>
    </row>
    <row r="5" spans="1:9" ht="45">
      <c r="A5" s="49" t="s">
        <v>0</v>
      </c>
      <c r="B5" s="49" t="s">
        <v>1</v>
      </c>
      <c r="C5" s="51" t="s">
        <v>50</v>
      </c>
      <c r="D5" s="37"/>
      <c r="E5" s="37"/>
      <c r="F5" s="37"/>
      <c r="G5" s="37"/>
      <c r="H5" s="37"/>
      <c r="I5" s="37"/>
    </row>
    <row r="6" spans="1:9" ht="15">
      <c r="A6" s="40" t="s">
        <v>79</v>
      </c>
      <c r="B6" s="7" t="s">
        <v>6</v>
      </c>
      <c r="C6" s="47"/>
      <c r="D6" s="37"/>
      <c r="E6" s="37"/>
      <c r="F6" s="37"/>
      <c r="G6" s="37"/>
      <c r="H6" s="37"/>
      <c r="I6" s="37"/>
    </row>
    <row r="7" spans="1:9" ht="15">
      <c r="A7" s="40" t="s">
        <v>52</v>
      </c>
      <c r="B7" s="7" t="s">
        <v>39</v>
      </c>
      <c r="C7" s="47"/>
      <c r="D7" s="37"/>
      <c r="E7" s="37"/>
      <c r="F7" s="37"/>
      <c r="G7" s="37"/>
      <c r="H7" s="37"/>
      <c r="I7" s="37"/>
    </row>
    <row r="8" spans="1:9" ht="15">
      <c r="A8" s="40" t="s">
        <v>53</v>
      </c>
      <c r="B8" s="7" t="s">
        <v>8</v>
      </c>
      <c r="C8" s="47"/>
      <c r="D8" s="37"/>
      <c r="E8" s="37"/>
      <c r="F8" s="37"/>
      <c r="G8" s="37"/>
      <c r="H8" s="37"/>
      <c r="I8" s="37"/>
    </row>
    <row r="9" spans="1:9" ht="15">
      <c r="A9" s="40" t="s">
        <v>54</v>
      </c>
      <c r="B9" s="7" t="s">
        <v>9</v>
      </c>
      <c r="C9" s="47"/>
      <c r="D9" s="37"/>
      <c r="E9" s="37"/>
      <c r="F9" s="37"/>
      <c r="G9" s="37"/>
      <c r="H9" s="37"/>
      <c r="I9" s="37"/>
    </row>
    <row r="10" spans="1:9" ht="15">
      <c r="A10" s="40" t="s">
        <v>55</v>
      </c>
      <c r="B10" s="7" t="s">
        <v>10</v>
      </c>
      <c r="C10" s="47"/>
      <c r="D10" s="37"/>
      <c r="E10" s="37"/>
      <c r="F10" s="37"/>
      <c r="G10" s="37"/>
      <c r="H10" s="37"/>
      <c r="I10" s="37"/>
    </row>
    <row r="11" spans="1:9" ht="15">
      <c r="A11" s="40" t="s">
        <v>56</v>
      </c>
      <c r="B11" s="7" t="s">
        <v>11</v>
      </c>
      <c r="C11" s="47"/>
      <c r="D11" s="37"/>
      <c r="E11" s="37"/>
      <c r="F11" s="37"/>
      <c r="G11" s="37"/>
      <c r="H11" s="37"/>
      <c r="I11" s="37"/>
    </row>
    <row r="12" spans="1:9" ht="15">
      <c r="A12" s="40" t="s">
        <v>57</v>
      </c>
      <c r="B12" s="7" t="s">
        <v>12</v>
      </c>
      <c r="C12" s="47"/>
      <c r="D12" s="37"/>
      <c r="E12" s="37"/>
      <c r="F12" s="37"/>
      <c r="G12" s="37"/>
      <c r="H12" s="37"/>
      <c r="I12" s="37"/>
    </row>
    <row r="13" spans="1:9" ht="15">
      <c r="A13" s="40" t="s">
        <v>58</v>
      </c>
      <c r="B13" s="7" t="s">
        <v>13</v>
      </c>
      <c r="C13" s="47"/>
      <c r="D13" s="37"/>
      <c r="E13" s="37"/>
      <c r="F13" s="37"/>
      <c r="G13" s="37"/>
      <c r="H13" s="37"/>
      <c r="I13" s="37"/>
    </row>
    <row r="14" spans="1:9" ht="15">
      <c r="A14" s="40" t="s">
        <v>59</v>
      </c>
      <c r="B14" s="7" t="s">
        <v>112</v>
      </c>
      <c r="C14" s="47"/>
      <c r="D14" s="37"/>
      <c r="E14" s="37"/>
      <c r="F14" s="37"/>
      <c r="G14" s="37"/>
      <c r="H14" s="37"/>
      <c r="I14" s="37"/>
    </row>
    <row r="15" spans="1:9" ht="15">
      <c r="A15" s="40" t="s">
        <v>60</v>
      </c>
      <c r="B15" s="7" t="s">
        <v>14</v>
      </c>
      <c r="C15" s="8">
        <v>32166.7</v>
      </c>
      <c r="D15" s="37"/>
      <c r="E15" s="37"/>
      <c r="F15" s="37"/>
      <c r="G15" s="37"/>
      <c r="H15" s="37"/>
      <c r="I15" s="37"/>
    </row>
    <row r="16" spans="1:9" ht="15">
      <c r="A16" s="40" t="s">
        <v>61</v>
      </c>
      <c r="B16" s="7" t="s">
        <v>15</v>
      </c>
      <c r="C16" s="47"/>
      <c r="D16" s="37"/>
      <c r="E16" s="37"/>
      <c r="F16" s="37"/>
      <c r="G16" s="37"/>
      <c r="H16" s="37"/>
      <c r="I16" s="37"/>
    </row>
    <row r="17" spans="1:9" ht="15">
      <c r="A17" s="40" t="s">
        <v>62</v>
      </c>
      <c r="B17" s="7" t="s">
        <v>40</v>
      </c>
      <c r="C17" s="8"/>
      <c r="D17" s="37"/>
      <c r="E17" s="37"/>
      <c r="F17" s="37"/>
      <c r="G17" s="37"/>
      <c r="H17" s="37"/>
      <c r="I17" s="37"/>
    </row>
    <row r="18" spans="1:9" ht="15">
      <c r="A18" s="40" t="s">
        <v>63</v>
      </c>
      <c r="B18" s="7" t="s">
        <v>17</v>
      </c>
      <c r="C18" s="47"/>
      <c r="D18" s="37"/>
      <c r="E18" s="37"/>
      <c r="F18" s="37"/>
      <c r="G18" s="37"/>
      <c r="H18" s="37"/>
      <c r="I18" s="37"/>
    </row>
    <row r="19" spans="1:9" ht="15">
      <c r="A19" s="40" t="s">
        <v>64</v>
      </c>
      <c r="B19" s="7" t="s">
        <v>18</v>
      </c>
      <c r="C19" s="47"/>
      <c r="D19" s="37"/>
      <c r="E19" s="37"/>
      <c r="F19" s="37"/>
      <c r="G19" s="37"/>
      <c r="H19" s="37"/>
      <c r="I19" s="37"/>
    </row>
    <row r="20" spans="1:9" ht="15">
      <c r="A20" s="40" t="s">
        <v>65</v>
      </c>
      <c r="B20" s="7" t="s">
        <v>19</v>
      </c>
      <c r="C20" s="47"/>
      <c r="D20" s="37"/>
      <c r="E20" s="37"/>
      <c r="F20" s="37"/>
      <c r="G20" s="37"/>
      <c r="H20" s="37"/>
      <c r="I20" s="37"/>
    </row>
    <row r="21" spans="1:9" ht="15">
      <c r="A21" s="40" t="s">
        <v>66</v>
      </c>
      <c r="B21" s="7" t="s">
        <v>20</v>
      </c>
      <c r="C21" s="47"/>
      <c r="D21" s="37"/>
      <c r="E21" s="37"/>
      <c r="F21" s="37"/>
      <c r="G21" s="37"/>
      <c r="H21" s="37"/>
      <c r="I21" s="37"/>
    </row>
    <row r="22" spans="1:9" ht="15">
      <c r="A22" s="40" t="s">
        <v>67</v>
      </c>
      <c r="B22" s="7" t="s">
        <v>21</v>
      </c>
      <c r="C22" s="47"/>
      <c r="D22" s="37"/>
      <c r="E22" s="37"/>
      <c r="F22" s="37"/>
      <c r="G22" s="37"/>
      <c r="H22" s="37"/>
      <c r="I22" s="37"/>
    </row>
    <row r="23" spans="1:9" ht="15">
      <c r="A23" s="40" t="s">
        <v>68</v>
      </c>
      <c r="B23" s="7" t="s">
        <v>22</v>
      </c>
      <c r="C23" s="47"/>
      <c r="D23" s="37"/>
      <c r="E23" s="37"/>
      <c r="F23" s="37"/>
      <c r="G23" s="37"/>
      <c r="H23" s="37"/>
      <c r="I23" s="37"/>
    </row>
    <row r="24" spans="1:9" ht="15">
      <c r="A24" s="40" t="s">
        <v>69</v>
      </c>
      <c r="B24" s="7" t="s">
        <v>23</v>
      </c>
      <c r="C24" s="47"/>
      <c r="D24" s="37"/>
      <c r="E24" s="37"/>
      <c r="F24" s="37"/>
      <c r="G24" s="37"/>
      <c r="H24" s="37"/>
      <c r="I24" s="37"/>
    </row>
    <row r="25" spans="1:9" ht="15">
      <c r="A25" s="40" t="s">
        <v>70</v>
      </c>
      <c r="B25" s="7" t="s">
        <v>24</v>
      </c>
      <c r="C25" s="47"/>
      <c r="D25" s="37"/>
      <c r="E25" s="37"/>
      <c r="F25" s="37"/>
      <c r="G25" s="37"/>
      <c r="H25" s="37"/>
      <c r="I25" s="37"/>
    </row>
    <row r="26" spans="1:9" ht="15">
      <c r="A26" s="40" t="s">
        <v>71</v>
      </c>
      <c r="B26" s="7" t="s">
        <v>25</v>
      </c>
      <c r="C26" s="47"/>
      <c r="D26" s="37"/>
      <c r="E26" s="37"/>
      <c r="F26" s="37"/>
      <c r="G26" s="37"/>
      <c r="H26" s="37"/>
      <c r="I26" s="37"/>
    </row>
    <row r="27" spans="1:9" ht="15">
      <c r="A27" s="40" t="s">
        <v>72</v>
      </c>
      <c r="B27" s="7" t="s">
        <v>26</v>
      </c>
      <c r="C27" s="47"/>
      <c r="D27" s="37"/>
      <c r="E27" s="37"/>
      <c r="F27" s="37"/>
      <c r="G27" s="37"/>
      <c r="H27" s="37"/>
      <c r="I27" s="37"/>
    </row>
    <row r="28" spans="1:9" ht="15">
      <c r="A28" s="40" t="s">
        <v>73</v>
      </c>
      <c r="B28" s="7" t="s">
        <v>27</v>
      </c>
      <c r="C28" s="47"/>
      <c r="D28" s="37"/>
      <c r="E28" s="37"/>
      <c r="F28" s="37"/>
      <c r="G28" s="37"/>
      <c r="H28" s="37"/>
      <c r="I28" s="37"/>
    </row>
    <row r="29" spans="1:9" ht="15">
      <c r="A29" s="40" t="s">
        <v>74</v>
      </c>
      <c r="B29" s="7" t="s">
        <v>28</v>
      </c>
      <c r="C29" s="47"/>
      <c r="D29" s="37"/>
      <c r="E29" s="37"/>
      <c r="F29" s="37"/>
      <c r="G29" s="37"/>
      <c r="H29" s="37"/>
      <c r="I29" s="37"/>
    </row>
    <row r="30" spans="1:9" ht="15">
      <c r="A30" s="40" t="s">
        <v>75</v>
      </c>
      <c r="B30" s="7" t="s">
        <v>29</v>
      </c>
      <c r="C30" s="47"/>
      <c r="D30" s="37"/>
      <c r="E30" s="37"/>
      <c r="F30" s="37"/>
      <c r="G30" s="37"/>
      <c r="H30" s="37"/>
      <c r="I30" s="37"/>
    </row>
    <row r="31" spans="1:9" ht="15">
      <c r="A31" s="40" t="s">
        <v>76</v>
      </c>
      <c r="B31" s="7" t="s">
        <v>30</v>
      </c>
      <c r="C31" s="47"/>
      <c r="D31" s="37"/>
      <c r="E31" s="37"/>
      <c r="F31" s="37"/>
      <c r="G31" s="37"/>
      <c r="H31" s="37"/>
      <c r="I31" s="37"/>
    </row>
    <row r="32" spans="1:9" ht="15">
      <c r="A32" s="40" t="s">
        <v>77</v>
      </c>
      <c r="B32" s="7" t="s">
        <v>31</v>
      </c>
      <c r="C32" s="47"/>
      <c r="D32" s="37"/>
      <c r="E32" s="37"/>
      <c r="F32" s="37"/>
      <c r="G32" s="37"/>
      <c r="H32" s="37"/>
      <c r="I32" s="37"/>
    </row>
    <row r="33" spans="1:9" ht="15">
      <c r="A33" s="40" t="s">
        <v>78</v>
      </c>
      <c r="B33" s="7" t="s">
        <v>32</v>
      </c>
      <c r="C33" s="47"/>
      <c r="D33" s="37"/>
      <c r="E33" s="37"/>
      <c r="F33" s="37"/>
      <c r="G33" s="37"/>
      <c r="H33" s="37"/>
      <c r="I33" s="37"/>
    </row>
    <row r="34" spans="1:9" ht="15">
      <c r="A34" s="40" t="s">
        <v>80</v>
      </c>
      <c r="B34" s="7" t="s">
        <v>33</v>
      </c>
      <c r="C34" s="47"/>
      <c r="D34" s="37"/>
      <c r="E34" s="37"/>
      <c r="F34" s="37"/>
      <c r="G34" s="37"/>
      <c r="H34" s="37"/>
      <c r="I34" s="37"/>
    </row>
    <row r="35" spans="1:9" ht="15">
      <c r="A35" s="40" t="s">
        <v>81</v>
      </c>
      <c r="B35" s="7" t="s">
        <v>34</v>
      </c>
      <c r="C35" s="47"/>
      <c r="D35" s="37"/>
      <c r="E35" s="37"/>
      <c r="F35" s="37"/>
      <c r="G35" s="37"/>
      <c r="H35" s="37"/>
      <c r="I35" s="37"/>
    </row>
    <row r="36" spans="1:9" ht="15">
      <c r="A36" s="40" t="s">
        <v>82</v>
      </c>
      <c r="B36" s="7" t="s">
        <v>87</v>
      </c>
      <c r="C36" s="47"/>
      <c r="D36" s="37"/>
      <c r="E36" s="37"/>
      <c r="F36" s="37"/>
      <c r="G36" s="37"/>
      <c r="H36" s="37"/>
      <c r="I36" s="37"/>
    </row>
    <row r="37" spans="1:9" ht="15">
      <c r="A37" s="40" t="s">
        <v>83</v>
      </c>
      <c r="B37" s="7" t="s">
        <v>89</v>
      </c>
      <c r="C37" s="47"/>
      <c r="D37" s="37"/>
      <c r="E37" s="37"/>
      <c r="F37" s="37"/>
      <c r="G37" s="37"/>
      <c r="H37" s="37"/>
      <c r="I37" s="37"/>
    </row>
    <row r="38" spans="1:9" ht="15">
      <c r="A38" s="40" t="s">
        <v>84</v>
      </c>
      <c r="B38" s="7" t="s">
        <v>90</v>
      </c>
      <c r="C38" s="47"/>
      <c r="D38" s="37"/>
      <c r="E38" s="37"/>
      <c r="F38" s="37"/>
      <c r="G38" s="37"/>
      <c r="H38" s="37"/>
      <c r="I38" s="37"/>
    </row>
    <row r="39" spans="1:9" ht="15">
      <c r="A39" s="40" t="s">
        <v>85</v>
      </c>
      <c r="B39" s="7" t="s">
        <v>93</v>
      </c>
      <c r="C39" s="47"/>
      <c r="D39" s="37"/>
      <c r="E39" s="37"/>
      <c r="F39" s="37"/>
      <c r="G39" s="37"/>
      <c r="H39" s="37"/>
      <c r="I39" s="37"/>
    </row>
    <row r="40" spans="1:9" ht="15">
      <c r="A40" s="40" t="s">
        <v>86</v>
      </c>
      <c r="B40" s="7" t="s">
        <v>94</v>
      </c>
      <c r="C40" s="47"/>
      <c r="D40" s="37"/>
      <c r="E40" s="37"/>
      <c r="F40" s="37"/>
      <c r="G40" s="37"/>
      <c r="H40" s="37"/>
      <c r="I40" s="37"/>
    </row>
    <row r="41" spans="1:9" ht="15.75" thickBot="1">
      <c r="A41" s="40" t="s">
        <v>91</v>
      </c>
      <c r="B41" s="7" t="s">
        <v>98</v>
      </c>
      <c r="C41" s="72"/>
      <c r="D41" s="37"/>
      <c r="E41" s="37"/>
      <c r="F41" s="37"/>
      <c r="G41" s="37"/>
      <c r="H41" s="37"/>
      <c r="I41" s="37"/>
    </row>
    <row r="42" spans="1:9" ht="15.75" thickBot="1">
      <c r="A42" s="54"/>
      <c r="B42" s="55" t="s">
        <v>35</v>
      </c>
      <c r="C42" s="56">
        <f>SUM(C6:C41)</f>
        <v>32166.7</v>
      </c>
      <c r="D42" s="37"/>
      <c r="E42" s="37"/>
      <c r="F42" s="37"/>
      <c r="G42" s="37"/>
      <c r="H42" s="37"/>
      <c r="I42" s="37"/>
    </row>
    <row r="43" spans="1:9" ht="14.25">
      <c r="A43" s="37"/>
      <c r="B43" s="37"/>
      <c r="C43" s="37"/>
      <c r="D43" s="37"/>
      <c r="E43" s="37"/>
      <c r="F43" s="37"/>
      <c r="G43" s="37"/>
      <c r="H43" s="37"/>
      <c r="I43" s="37"/>
    </row>
    <row r="44" spans="1:9" ht="14.25">
      <c r="A44" s="37"/>
      <c r="B44" s="37"/>
      <c r="C44" s="37"/>
      <c r="D44" s="37"/>
      <c r="E44" s="37"/>
      <c r="F44" s="37"/>
      <c r="G44" s="37"/>
      <c r="H44" s="37"/>
      <c r="I44" s="37"/>
    </row>
    <row r="45" spans="1:9" ht="14.25">
      <c r="A45" s="37"/>
      <c r="B45" s="37"/>
      <c r="C45" s="37"/>
      <c r="D45" s="37"/>
      <c r="E45" s="37"/>
      <c r="F45" s="37"/>
      <c r="G45" s="37"/>
      <c r="H45" s="37"/>
      <c r="I45" s="37"/>
    </row>
  </sheetData>
  <mergeCells count="2">
    <mergeCell ref="A3:I3"/>
    <mergeCell ref="A4:C4"/>
  </mergeCells>
  <printOptions/>
  <pageMargins left="0.75" right="0.75" top="1" bottom="1" header="0.5" footer="0.5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TUDOR CERNEA</dc:creator>
  <cp:keywords/>
  <dc:description/>
  <cp:lastModifiedBy>HP_03</cp:lastModifiedBy>
  <cp:lastPrinted>2019-07-23T07:10:33Z</cp:lastPrinted>
  <dcterms:created xsi:type="dcterms:W3CDTF">2011-06-30T06:54:46Z</dcterms:created>
  <dcterms:modified xsi:type="dcterms:W3CDTF">2019-09-17T11:29:14Z</dcterms:modified>
  <cp:category/>
  <cp:version/>
  <cp:contentType/>
  <cp:contentStatus/>
</cp:coreProperties>
</file>